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Исходные данные" sheetId="1" r:id="rId1"/>
    <sheet name="Финансовые результаты" sheetId="2" r:id="rId2"/>
    <sheet name="Движение денежных средств" sheetId="4" state="hidden" r:id="rId3"/>
    <sheet name="Оценка эффективности проекта" sheetId="3" r:id="rId4"/>
  </sheets>
  <calcPr calcId="145621"/>
</workbook>
</file>

<file path=xl/calcChain.xml><?xml version="1.0" encoding="utf-8"?>
<calcChain xmlns="http://schemas.openxmlformats.org/spreadsheetml/2006/main">
  <c r="C17" i="1" l="1"/>
  <c r="C16" i="1" l="1"/>
  <c r="C13" i="1" s="1"/>
  <c r="C27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D16" i="1"/>
  <c r="E16" i="1" s="1"/>
  <c r="D13" i="1" l="1"/>
  <c r="D27" i="1" s="1"/>
  <c r="E13" i="1"/>
  <c r="E27" i="1" s="1"/>
  <c r="F16" i="1"/>
  <c r="B23" i="1"/>
  <c r="B22" i="1"/>
  <c r="F13" i="1" l="1"/>
  <c r="F27" i="1" s="1"/>
  <c r="G16" i="1"/>
  <c r="C8" i="2"/>
  <c r="D8" i="2" s="1"/>
  <c r="C4" i="2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C35" i="1"/>
  <c r="C34" i="1"/>
  <c r="C33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C3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D31" i="1"/>
  <c r="C31" i="1"/>
  <c r="C30" i="1"/>
  <c r="C29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C28" i="1"/>
  <c r="C9" i="2" s="1"/>
  <c r="B24" i="1"/>
  <c r="G13" i="1" l="1"/>
  <c r="G27" i="1" s="1"/>
  <c r="H16" i="1"/>
  <c r="B11" i="1"/>
  <c r="B20" i="1" s="1"/>
  <c r="AA8" i="2"/>
  <c r="S8" i="2"/>
  <c r="K8" i="2"/>
  <c r="AE8" i="2"/>
  <c r="W8" i="2"/>
  <c r="O8" i="2"/>
  <c r="G8" i="2"/>
  <c r="E8" i="2"/>
  <c r="I8" i="2" s="1"/>
  <c r="H8" i="2"/>
  <c r="L8" i="2"/>
  <c r="P8" i="2"/>
  <c r="T8" i="2"/>
  <c r="X8" i="2"/>
  <c r="AB8" i="2"/>
  <c r="AF8" i="2"/>
  <c r="D9" i="2"/>
  <c r="H9" i="2" s="1"/>
  <c r="O9" i="2"/>
  <c r="AE9" i="2"/>
  <c r="G9" i="2"/>
  <c r="W9" i="2"/>
  <c r="AA9" i="2"/>
  <c r="S9" i="2"/>
  <c r="K9" i="2"/>
  <c r="C5" i="2"/>
  <c r="C6" i="2" s="1"/>
  <c r="F8" i="2"/>
  <c r="E9" i="2"/>
  <c r="F9" i="2" s="1"/>
  <c r="AG8" i="2" l="1"/>
  <c r="B12" i="1"/>
  <c r="Y8" i="2"/>
  <c r="Z8" i="2" s="1"/>
  <c r="U8" i="2"/>
  <c r="V8" i="2" s="1"/>
  <c r="B18" i="1"/>
  <c r="AC8" i="2"/>
  <c r="AB9" i="2"/>
  <c r="M8" i="2"/>
  <c r="H13" i="1"/>
  <c r="H27" i="1" s="1"/>
  <c r="I16" i="1"/>
  <c r="AF9" i="2"/>
  <c r="T9" i="2"/>
  <c r="L9" i="2"/>
  <c r="X9" i="2"/>
  <c r="P9" i="2"/>
  <c r="Q8" i="2"/>
  <c r="C7" i="2"/>
  <c r="F10" i="2"/>
  <c r="J8" i="2"/>
  <c r="I9" i="2"/>
  <c r="J9" i="2" s="1"/>
  <c r="M9" i="2"/>
  <c r="Q9" i="2"/>
  <c r="U9" i="2"/>
  <c r="V9" i="2" s="1"/>
  <c r="Y9" i="2"/>
  <c r="AC9" i="2"/>
  <c r="AG9" i="2"/>
  <c r="G26" i="3"/>
  <c r="C36" i="1"/>
  <c r="I13" i="1" l="1"/>
  <c r="I27" i="1" s="1"/>
  <c r="J16" i="1"/>
  <c r="C18" i="1"/>
  <c r="C13" i="2" s="1"/>
  <c r="C14" i="2" s="1"/>
  <c r="B2" i="4" s="1"/>
  <c r="Z9" i="2"/>
  <c r="AD9" i="2" s="1"/>
  <c r="AH9" i="2" s="1"/>
  <c r="N9" i="2"/>
  <c r="R9" i="2" s="1"/>
  <c r="D36" i="1"/>
  <c r="D4" i="2"/>
  <c r="AD8" i="2"/>
  <c r="N8" i="2"/>
  <c r="J10" i="2"/>
  <c r="V10" i="2"/>
  <c r="C25" i="1"/>
  <c r="D18" i="1"/>
  <c r="D13" i="2" s="1"/>
  <c r="Z10" i="2" l="1"/>
  <c r="J13" i="1"/>
  <c r="J27" i="1" s="1"/>
  <c r="K16" i="1"/>
  <c r="AI9" i="2"/>
  <c r="D5" i="2"/>
  <c r="D6" i="2" s="1"/>
  <c r="D14" i="2"/>
  <c r="E36" i="1"/>
  <c r="E18" i="1" s="1"/>
  <c r="E13" i="2" s="1"/>
  <c r="F13" i="2" s="1"/>
  <c r="E4" i="2"/>
  <c r="N10" i="2"/>
  <c r="R8" i="2"/>
  <c r="AD10" i="2"/>
  <c r="AH8" i="2"/>
  <c r="AH10" i="2" s="1"/>
  <c r="D25" i="1"/>
  <c r="C2" i="4"/>
  <c r="K13" i="1" l="1"/>
  <c r="K27" i="1" s="1"/>
  <c r="L16" i="1"/>
  <c r="E5" i="2"/>
  <c r="E6" i="2" s="1"/>
  <c r="E14" i="2"/>
  <c r="F4" i="2"/>
  <c r="D7" i="2"/>
  <c r="F36" i="1"/>
  <c r="G4" i="2"/>
  <c r="AI8" i="2"/>
  <c r="R10" i="2"/>
  <c r="E25" i="1"/>
  <c r="F18" i="1"/>
  <c r="G13" i="2" s="1"/>
  <c r="L13" i="1" l="1"/>
  <c r="L27" i="1" s="1"/>
  <c r="M16" i="1"/>
  <c r="E7" i="2"/>
  <c r="G5" i="2"/>
  <c r="G6" i="2" s="1"/>
  <c r="G14" i="2"/>
  <c r="F5" i="2"/>
  <c r="F6" i="2" s="1"/>
  <c r="F7" i="2" s="1"/>
  <c r="F11" i="2" s="1"/>
  <c r="F12" i="2" s="1"/>
  <c r="F14" i="2"/>
  <c r="G36" i="1"/>
  <c r="H4" i="2"/>
  <c r="D2" i="4"/>
  <c r="F25" i="1"/>
  <c r="M13" i="1" l="1"/>
  <c r="M27" i="1" s="1"/>
  <c r="N16" i="1"/>
  <c r="G18" i="1"/>
  <c r="H13" i="2" s="1"/>
  <c r="H14" i="2" s="1"/>
  <c r="G7" i="2"/>
  <c r="H36" i="1"/>
  <c r="H18" i="1" s="1"/>
  <c r="I13" i="2" s="1"/>
  <c r="J13" i="2" s="1"/>
  <c r="I4" i="2"/>
  <c r="H5" i="2"/>
  <c r="H6" i="2" s="1"/>
  <c r="G25" i="1"/>
  <c r="E2" i="4"/>
  <c r="N13" i="1" l="1"/>
  <c r="N27" i="1" s="1"/>
  <c r="O16" i="1"/>
  <c r="H7" i="2"/>
  <c r="I5" i="2"/>
  <c r="I6" i="2" s="1"/>
  <c r="I14" i="2"/>
  <c r="I36" i="1"/>
  <c r="K4" i="2"/>
  <c r="J4" i="2"/>
  <c r="H25" i="1"/>
  <c r="F2" i="4"/>
  <c r="O13" i="1" l="1"/>
  <c r="O27" i="1" s="1"/>
  <c r="P16" i="1"/>
  <c r="I7" i="2"/>
  <c r="J5" i="2"/>
  <c r="J6" i="2" s="1"/>
  <c r="J7" i="2" s="1"/>
  <c r="J11" i="2" s="1"/>
  <c r="J12" i="2" s="1"/>
  <c r="J14" i="2"/>
  <c r="J36" i="1"/>
  <c r="J18" i="1" s="1"/>
  <c r="L13" i="2" s="1"/>
  <c r="L4" i="2"/>
  <c r="K5" i="2"/>
  <c r="K6" i="2" s="1"/>
  <c r="I25" i="1"/>
  <c r="I18" i="1"/>
  <c r="K13" i="2" s="1"/>
  <c r="G2" i="4"/>
  <c r="P13" i="1" l="1"/>
  <c r="P27" i="1" s="1"/>
  <c r="Q16" i="1"/>
  <c r="K7" i="2"/>
  <c r="K36" i="1"/>
  <c r="K18" i="1" s="1"/>
  <c r="M13" i="2" s="1"/>
  <c r="N13" i="2" s="1"/>
  <c r="M4" i="2"/>
  <c r="K14" i="2"/>
  <c r="H2" i="4" s="1"/>
  <c r="L5" i="2"/>
  <c r="L6" i="2" s="1"/>
  <c r="L14" i="2"/>
  <c r="N4" i="2"/>
  <c r="J25" i="1"/>
  <c r="Q13" i="1" l="1"/>
  <c r="Q27" i="1" s="1"/>
  <c r="R16" i="1"/>
  <c r="L7" i="2"/>
  <c r="L36" i="1"/>
  <c r="O4" i="2"/>
  <c r="M5" i="2"/>
  <c r="M6" i="2" s="1"/>
  <c r="M14" i="2"/>
  <c r="N5" i="2"/>
  <c r="N6" i="2" s="1"/>
  <c r="N7" i="2" s="1"/>
  <c r="N11" i="2" s="1"/>
  <c r="N12" i="2" s="1"/>
  <c r="N14" i="2"/>
  <c r="K25" i="1"/>
  <c r="I2" i="4"/>
  <c r="L18" i="1"/>
  <c r="O13" i="2" s="1"/>
  <c r="R13" i="1" l="1"/>
  <c r="R27" i="1" s="1"/>
  <c r="S16" i="1"/>
  <c r="M36" i="1"/>
  <c r="M18" i="1" s="1"/>
  <c r="P13" i="2" s="1"/>
  <c r="P4" i="2"/>
  <c r="O5" i="2"/>
  <c r="O6" i="2" s="1"/>
  <c r="O14" i="2"/>
  <c r="M7" i="2"/>
  <c r="L25" i="1"/>
  <c r="J2" i="4"/>
  <c r="S13" i="1" l="1"/>
  <c r="S27" i="1" s="1"/>
  <c r="T16" i="1"/>
  <c r="O7" i="2"/>
  <c r="P14" i="2"/>
  <c r="P5" i="2"/>
  <c r="P6" i="2" s="1"/>
  <c r="N36" i="1"/>
  <c r="Q4" i="2"/>
  <c r="M25" i="1"/>
  <c r="K2" i="4"/>
  <c r="T13" i="1" l="1"/>
  <c r="T27" i="1" s="1"/>
  <c r="U16" i="1"/>
  <c r="P7" i="2"/>
  <c r="N18" i="1"/>
  <c r="Q13" i="2" s="1"/>
  <c r="R13" i="2" s="1"/>
  <c r="Q5" i="2"/>
  <c r="Q6" i="2" s="1"/>
  <c r="Q7" i="2" s="1"/>
  <c r="R4" i="2"/>
  <c r="O36" i="1"/>
  <c r="S4" i="2"/>
  <c r="N25" i="1"/>
  <c r="L2" i="4"/>
  <c r="U13" i="1" l="1"/>
  <c r="U27" i="1" s="1"/>
  <c r="V16" i="1"/>
  <c r="Q14" i="2"/>
  <c r="M2" i="4" s="1"/>
  <c r="S5" i="2"/>
  <c r="S6" i="2" s="1"/>
  <c r="R5" i="2"/>
  <c r="R6" i="2" s="1"/>
  <c r="R7" i="2" s="1"/>
  <c r="R11" i="2" s="1"/>
  <c r="R12" i="2" s="1"/>
  <c r="R14" i="2" s="1"/>
  <c r="P36" i="1"/>
  <c r="T4" i="2"/>
  <c r="O25" i="1"/>
  <c r="O18" i="1"/>
  <c r="S13" i="2" s="1"/>
  <c r="S14" i="2" s="1"/>
  <c r="P18" i="1"/>
  <c r="T13" i="2" s="1"/>
  <c r="V13" i="1" l="1"/>
  <c r="V27" i="1" s="1"/>
  <c r="W16" i="1"/>
  <c r="Q36" i="1"/>
  <c r="Q18" i="1" s="1"/>
  <c r="U13" i="2" s="1"/>
  <c r="V13" i="2" s="1"/>
  <c r="U4" i="2"/>
  <c r="V4" i="2" s="1"/>
  <c r="T5" i="2"/>
  <c r="T6" i="2" s="1"/>
  <c r="T14" i="2"/>
  <c r="S7" i="2"/>
  <c r="P25" i="1"/>
  <c r="G27" i="3"/>
  <c r="G25" i="3"/>
  <c r="G29" i="3"/>
  <c r="G28" i="3"/>
  <c r="W13" i="1" l="1"/>
  <c r="W27" i="1" s="1"/>
  <c r="X16" i="1"/>
  <c r="R36" i="1"/>
  <c r="W4" i="2"/>
  <c r="T7" i="2"/>
  <c r="V5" i="2"/>
  <c r="V6" i="2" s="1"/>
  <c r="V7" i="2" s="1"/>
  <c r="V11" i="2" s="1"/>
  <c r="V12" i="2" s="1"/>
  <c r="V14" i="2"/>
  <c r="U5" i="2"/>
  <c r="U6" i="2" s="1"/>
  <c r="U14" i="2"/>
  <c r="Q25" i="1"/>
  <c r="X13" i="1" l="1"/>
  <c r="X27" i="1" s="1"/>
  <c r="Y16" i="1"/>
  <c r="U7" i="2"/>
  <c r="S36" i="1"/>
  <c r="X4" i="2"/>
  <c r="W5" i="2"/>
  <c r="W6" i="2" s="1"/>
  <c r="R25" i="1"/>
  <c r="R18" i="1"/>
  <c r="W13" i="2" s="1"/>
  <c r="S18" i="1"/>
  <c r="Y13" i="1" l="1"/>
  <c r="Y27" i="1" s="1"/>
  <c r="Z16" i="1"/>
  <c r="Z13" i="1" s="1"/>
  <c r="Z27" i="1" s="1"/>
  <c r="W7" i="2"/>
  <c r="W14" i="2"/>
  <c r="X5" i="2"/>
  <c r="X6" i="2" s="1"/>
  <c r="X13" i="2"/>
  <c r="AA13" i="2"/>
  <c r="T36" i="1"/>
  <c r="Y4" i="2"/>
  <c r="S25" i="1"/>
  <c r="T18" i="1"/>
  <c r="X7" i="2" l="1"/>
  <c r="Y13" i="2"/>
  <c r="Z13" i="2" s="1"/>
  <c r="AB13" i="2"/>
  <c r="U36" i="1"/>
  <c r="AA4" i="2"/>
  <c r="Y5" i="2"/>
  <c r="Y6" i="2" s="1"/>
  <c r="Z4" i="2"/>
  <c r="X14" i="2"/>
  <c r="T25" i="1"/>
  <c r="Y14" i="2" l="1"/>
  <c r="Y7" i="2"/>
  <c r="Z5" i="2"/>
  <c r="Z6" i="2" s="1"/>
  <c r="Z7" i="2" s="1"/>
  <c r="Z11" i="2" s="1"/>
  <c r="Z12" i="2" s="1"/>
  <c r="Z14" i="2"/>
  <c r="V36" i="1"/>
  <c r="AB4" i="2"/>
  <c r="AA5" i="2"/>
  <c r="AA6" i="2" s="1"/>
  <c r="AA14" i="2"/>
  <c r="U25" i="1"/>
  <c r="U18" i="1"/>
  <c r="AC13" i="2" s="1"/>
  <c r="AD13" i="2" s="1"/>
  <c r="AA7" i="2" l="1"/>
  <c r="V18" i="1"/>
  <c r="AE13" i="2" s="1"/>
  <c r="AB5" i="2"/>
  <c r="AB6" i="2" s="1"/>
  <c r="AB14" i="2"/>
  <c r="W36" i="1"/>
  <c r="W18" i="1" s="1"/>
  <c r="AF13" i="2" s="1"/>
  <c r="AC4" i="2"/>
  <c r="V25" i="1"/>
  <c r="AB7" i="2" l="1"/>
  <c r="X36" i="1"/>
  <c r="AE4" i="2"/>
  <c r="AC5" i="2"/>
  <c r="AC6" i="2" s="1"/>
  <c r="AC14" i="2"/>
  <c r="AD4" i="2"/>
  <c r="W25" i="1"/>
  <c r="X18" i="1" l="1"/>
  <c r="AG13" i="2" s="1"/>
  <c r="AH13" i="2" s="1"/>
  <c r="AI13" i="2" s="1"/>
  <c r="Y36" i="1"/>
  <c r="AF4" i="2"/>
  <c r="AD5" i="2"/>
  <c r="AD6" i="2" s="1"/>
  <c r="AD7" i="2" s="1"/>
  <c r="AD11" i="2" s="1"/>
  <c r="AD12" i="2" s="1"/>
  <c r="AD14" i="2"/>
  <c r="AE5" i="2"/>
  <c r="AE6" i="2" s="1"/>
  <c r="AE14" i="2"/>
  <c r="AC7" i="2"/>
  <c r="X25" i="1"/>
  <c r="Y18" i="1"/>
  <c r="AE7" i="2" l="1"/>
  <c r="AF14" i="2"/>
  <c r="AF5" i="2"/>
  <c r="AF6" i="2" s="1"/>
  <c r="Z36" i="1"/>
  <c r="Z18" i="1" s="1"/>
  <c r="AG4" i="2"/>
  <c r="Y25" i="1"/>
  <c r="AF7" i="2" l="1"/>
  <c r="AG5" i="2"/>
  <c r="AG6" i="2" s="1"/>
  <c r="AG7" i="2" s="1"/>
  <c r="AG14" i="2"/>
  <c r="AH4" i="2"/>
  <c r="Z25" i="1"/>
  <c r="AH5" i="2" l="1"/>
  <c r="AH6" i="2" s="1"/>
  <c r="AH7" i="2" s="1"/>
  <c r="AH11" i="2" s="1"/>
  <c r="AH12" i="2" s="1"/>
  <c r="AI12" i="2" s="1"/>
  <c r="AI4" i="2"/>
  <c r="AI5" i="2" s="1"/>
  <c r="AH14" i="2" l="1"/>
  <c r="AI14" i="2" s="1"/>
</calcChain>
</file>

<file path=xl/sharedStrings.xml><?xml version="1.0" encoding="utf-8"?>
<sst xmlns="http://schemas.openxmlformats.org/spreadsheetml/2006/main" count="123" uniqueCount="113">
  <si>
    <t>Исходные данные  пессимистического варианта финансового плана (1 год)</t>
  </si>
  <si>
    <t>Исходные данные для составления финансового плана (2 год)</t>
  </si>
  <si>
    <t>Краткое название проекта -</t>
  </si>
  <si>
    <t>Деньги до зарплаты</t>
  </si>
  <si>
    <t>Организационно-правовая форма:</t>
  </si>
  <si>
    <t>Юридическое лицо</t>
  </si>
  <si>
    <t xml:space="preserve"> </t>
  </si>
  <si>
    <t>Система налогообложения:</t>
  </si>
  <si>
    <t>Упрощенная</t>
  </si>
  <si>
    <t>Объект налогообложения:</t>
  </si>
  <si>
    <t>Доходы (выручка от реализации)</t>
  </si>
  <si>
    <t>Вид деятельности:</t>
  </si>
  <si>
    <t>Услуги</t>
  </si>
  <si>
    <t>Статьи расходов и доходов</t>
  </si>
  <si>
    <t>0-й период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</si>
  <si>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</si>
  <si>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</si>
  <si>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</si>
  <si>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</si>
  <si>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</si>
  <si>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</si>
  <si>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</si>
  <si>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</si>
  <si>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</si>
  <si>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</si>
  <si>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</si>
  <si>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</si>
  <si>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13-й месяц</t>
  </si>
  <si>
    <t>14-й месяц</t>
  </si>
  <si>
    <t>15-й месяц</t>
  </si>
  <si>
    <t>16-й месяц</t>
  </si>
  <si>
    <t>17-й месяц</t>
  </si>
  <si>
    <t>18-й месяц</t>
  </si>
  <si>
    <t>19-й месяц</t>
  </si>
  <si>
    <t>20-й месяц</t>
  </si>
  <si>
    <t>21-й месяц</t>
  </si>
  <si>
    <t>22-й месяц</t>
  </si>
  <si>
    <t>23-й месяц</t>
  </si>
  <si>
    <t>Первый год</t>
  </si>
  <si>
    <t>Второй год</t>
  </si>
  <si>
    <t>Источники финансирования, всего:</t>
  </si>
  <si>
    <t>в том числе собственные средства</t>
  </si>
  <si>
    <t>Зарплата белая</t>
  </si>
  <si>
    <t>Аренда помещений</t>
  </si>
  <si>
    <t>Расходы на рекламу</t>
  </si>
  <si>
    <t>Бумага, кас. Лента</t>
  </si>
  <si>
    <t>Непредвиденные расходы</t>
  </si>
  <si>
    <t>В том числе:</t>
  </si>
  <si>
    <t>Зарплата серая</t>
  </si>
  <si>
    <t>Заправка картриджа</t>
  </si>
  <si>
    <t>Расходы, всего:</t>
  </si>
  <si>
    <t>Услуги связи</t>
  </si>
  <si>
    <t>№ пп</t>
  </si>
  <si>
    <t>1.</t>
  </si>
  <si>
    <t>2.</t>
  </si>
  <si>
    <t>2.1.</t>
  </si>
  <si>
    <t>3.</t>
  </si>
  <si>
    <t>4.</t>
  </si>
  <si>
    <t>5.</t>
  </si>
  <si>
    <t>5.1.</t>
  </si>
  <si>
    <t>5.2.</t>
  </si>
  <si>
    <t>6.</t>
  </si>
  <si>
    <t>7.</t>
  </si>
  <si>
    <t>8.</t>
  </si>
  <si>
    <t>Статьи доходов и расходов</t>
  </si>
  <si>
    <t>Сумма единого налога без учёта вычета</t>
  </si>
  <si>
    <t>Сумма единого налога без учёта вычета нарастающим итогом</t>
  </si>
  <si>
    <t>Предельная сумма вычета</t>
  </si>
  <si>
    <t>I квартал</t>
  </si>
  <si>
    <t>Полугодие</t>
  </si>
  <si>
    <t>III квартал</t>
  </si>
  <si>
    <t>Год</t>
  </si>
  <si>
    <t>I квартал 2го года</t>
  </si>
  <si>
    <t>Всего:</t>
  </si>
  <si>
    <t>1-й год</t>
  </si>
  <si>
    <t>Полугодие 2го года</t>
  </si>
  <si>
    <t>III квартал 2го года</t>
  </si>
  <si>
    <t>2-й год</t>
  </si>
  <si>
    <t>План финансовых результатов деятельности</t>
  </si>
  <si>
    <t>Страховой взнос на обязательное социальное страхование</t>
  </si>
  <si>
    <t>Взносы во внебюджетные фонды</t>
  </si>
  <si>
    <t>Вычет из единого налога</t>
  </si>
  <si>
    <t>Единый налог с учётом вычета</t>
  </si>
  <si>
    <t>Текущие затраты, всего:</t>
  </si>
  <si>
    <t>Чистый доход</t>
  </si>
  <si>
    <t>Период:</t>
  </si>
  <si>
    <t>Сумма на конец периода</t>
  </si>
  <si>
    <t>Экономические показатели за первый год деятельности предприятия:</t>
  </si>
  <si>
    <t>Сумма чистой прибыли (руб.):</t>
  </si>
  <si>
    <t>Сумма вложений собственных средств (руб.):</t>
  </si>
  <si>
    <t>Рентабельность продукции (прибыль/затраты) (%):</t>
  </si>
  <si>
    <t>Рентабельность общих вложений (прибыль/общая сумма финансирования) (%):</t>
  </si>
  <si>
    <t>Срок окупаемости общих вложений (мес.):</t>
  </si>
  <si>
    <t>24-й месяц</t>
  </si>
  <si>
    <t>Единовременные расходы, всего:</t>
  </si>
  <si>
    <t>Оборотные средства</t>
  </si>
  <si>
    <t>Постоянные расходы, всего:</t>
  </si>
  <si>
    <t>Прочие статьи расходов:</t>
  </si>
  <si>
    <t>Оценка платёжеспособности клиентов</t>
  </si>
  <si>
    <t>Затраты на организацию взыскания задолженности</t>
  </si>
  <si>
    <t>Расходы на предварительный анализ рынка</t>
  </si>
  <si>
    <t>Затраты берёт на себя ООО "Международная финансовая компания "Деньги до зарплаты"</t>
  </si>
  <si>
    <t>Введите количество касс:</t>
  </si>
  <si>
    <t>Валовая прибыль от реализации</t>
  </si>
  <si>
    <t xml:space="preserve"> - Количество касс можно изменить</t>
  </si>
  <si>
    <t>Паушальный взнос ( с учетом НДС)</t>
  </si>
  <si>
    <t>Затраты на покупку оборудования (с учетом НДС)</t>
  </si>
  <si>
    <t>Взносы во внебюджетные фонды и страховой взнос на обязательное социальное страхование нарастающим итогом</t>
  </si>
  <si>
    <t>Невозврат 4,2% от выданной суммы</t>
  </si>
  <si>
    <t>Валовая прибыль от реализации услуг , всего:</t>
  </si>
  <si>
    <t>Прибыль от закрытых займов (проценты, штрафы)</t>
  </si>
  <si>
    <t>Прибыль от реализации дополнительных услуг</t>
  </si>
  <si>
    <t>Роялти (НДС в 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</si>
</sst>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theme="4"/>
      </top>
      <bottom style="medium">
        <color indexed="6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" fillId="3" borderId="0" xfId="5" applyBorder="1"/>
    <xf numFmtId="14" fontId="1" fillId="3" borderId="0" xfId="5" applyNumberFormat="1" applyBorder="1"/>
    <xf numFmtId="0" fontId="0" fillId="4" borderId="15" xfId="0" applyFill="1" applyBorder="1" applyAlignment="1">
      <alignment horizontal="left" vertical="center"/>
    </xf>
    <xf numFmtId="0" fontId="0" fillId="4" borderId="16" xfId="0" applyFill="1" applyBorder="1"/>
    <xf numFmtId="0" fontId="0" fillId="4" borderId="16" xfId="0" applyFill="1" applyBorder="1" applyAlignment="1">
      <alignment horizontal="left" indent="2"/>
    </xf>
    <xf numFmtId="164" fontId="0" fillId="4" borderId="7" xfId="0" applyNumberFormat="1" applyFill="1" applyBorder="1"/>
    <xf numFmtId="164" fontId="0" fillId="4" borderId="0" xfId="0" applyNumberFormat="1" applyFill="1" applyBorder="1"/>
    <xf numFmtId="164" fontId="0" fillId="4" borderId="8" xfId="0" applyNumberFormat="1" applyFill="1" applyBorder="1"/>
    <xf numFmtId="164" fontId="0" fillId="4" borderId="9" xfId="0" applyNumberForma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/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7" fillId="4" borderId="2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0" fontId="0" fillId="4" borderId="24" xfId="0" applyFill="1" applyBorder="1" applyAlignment="1">
      <alignment vertical="center"/>
    </xf>
    <xf numFmtId="16" fontId="0" fillId="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64" fontId="5" fillId="2" borderId="6" xfId="4" applyNumberFormat="1" applyBorder="1" applyAlignment="1">
      <alignment horizontal="center" vertical="center"/>
    </xf>
    <xf numFmtId="164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0" fillId="4" borderId="16" xfId="0" applyFill="1" applyBorder="1" applyAlignment="1">
      <alignment horizontal="left" indent="3"/>
    </xf>
    <xf numFmtId="0" fontId="0" fillId="0" borderId="0" xfId="0" applyBorder="1"/>
    <xf numFmtId="0" fontId="0" fillId="0" borderId="0" xfId="0" applyBorder="1" applyAlignment="1">
      <alignment horizontal="left" indent="2"/>
    </xf>
    <xf numFmtId="0" fontId="0" fillId="4" borderId="17" xfId="0" applyFill="1" applyBorder="1" applyAlignment="1">
      <alignment horizontal="left" indent="3"/>
    </xf>
    <xf numFmtId="0" fontId="2" fillId="4" borderId="0" xfId="2" applyFill="1" applyBorder="1"/>
    <xf numFmtId="0" fontId="2" fillId="0" borderId="0" xfId="2" applyBorder="1"/>
    <xf numFmtId="0" fontId="3" fillId="4" borderId="0" xfId="3" applyFill="1" applyBorder="1"/>
    <xf numFmtId="0" fontId="3" fillId="0" borderId="0" xfId="3" applyBorder="1"/>
    <xf numFmtId="0" fontId="0" fillId="4" borderId="0" xfId="0" applyFill="1" applyBorder="1"/>
    <xf numFmtId="0" fontId="0" fillId="4" borderId="13" xfId="0" applyFill="1" applyBorder="1"/>
    <xf numFmtId="0" fontId="0" fillId="4" borderId="15" xfId="0" applyFill="1" applyBorder="1" applyAlignment="1">
      <alignment horizontal="left" indent="1"/>
    </xf>
    <xf numFmtId="0" fontId="0" fillId="4" borderId="16" xfId="0" applyFill="1" applyBorder="1" applyAlignment="1">
      <alignment horizontal="left" wrapText="1" indent="3"/>
    </xf>
    <xf numFmtId="0" fontId="0" fillId="4" borderId="17" xfId="0" applyFill="1" applyBorder="1" applyAlignment="1">
      <alignment horizontal="left" wrapText="1" indent="3"/>
    </xf>
    <xf numFmtId="0" fontId="0" fillId="4" borderId="8" xfId="0" applyFill="1" applyBorder="1"/>
    <xf numFmtId="0" fontId="0" fillId="4" borderId="15" xfId="0" applyFill="1" applyBorder="1" applyAlignment="1">
      <alignment horizontal="left" indent="2"/>
    </xf>
    <xf numFmtId="164" fontId="0" fillId="4" borderId="16" xfId="1" applyNumberFormat="1" applyFont="1" applyFill="1" applyBorder="1"/>
    <xf numFmtId="164" fontId="0" fillId="4" borderId="16" xfId="0" applyNumberFormat="1" applyFill="1" applyBorder="1"/>
    <xf numFmtId="164" fontId="0" fillId="4" borderId="16" xfId="0" applyNumberFormat="1" applyFill="1" applyBorder="1" applyAlignment="1">
      <alignment horizontal="right"/>
    </xf>
    <xf numFmtId="164" fontId="0" fillId="4" borderId="17" xfId="0" applyNumberFormat="1" applyFill="1" applyBorder="1" applyAlignment="1">
      <alignment horizontal="right"/>
    </xf>
    <xf numFmtId="164" fontId="0" fillId="6" borderId="15" xfId="0" applyNumberFormat="1" applyFill="1" applyBorder="1" applyAlignment="1">
      <alignment horizontal="right"/>
    </xf>
    <xf numFmtId="164" fontId="0" fillId="6" borderId="16" xfId="0" applyNumberFormat="1" applyFill="1" applyBorder="1" applyAlignment="1">
      <alignment horizontal="right"/>
    </xf>
    <xf numFmtId="0" fontId="0" fillId="6" borderId="0" xfId="0" applyFill="1" applyBorder="1"/>
    <xf numFmtId="0" fontId="0" fillId="6" borderId="8" xfId="0" applyFill="1" applyBorder="1"/>
    <xf numFmtId="0" fontId="0" fillId="6" borderId="0" xfId="0" applyFill="1" applyBorder="1" applyAlignment="1">
      <alignment horizontal="left" indent="2"/>
    </xf>
    <xf numFmtId="0" fontId="0" fillId="6" borderId="8" xfId="0" applyFill="1" applyBorder="1" applyAlignment="1">
      <alignment horizontal="left" indent="2"/>
    </xf>
    <xf numFmtId="0" fontId="0" fillId="6" borderId="10" xfId="0" applyFill="1" applyBorder="1" applyAlignment="1">
      <alignment horizontal="left" indent="2"/>
    </xf>
    <xf numFmtId="0" fontId="0" fillId="6" borderId="11" xfId="0" applyFill="1" applyBorder="1" applyAlignment="1">
      <alignment horizontal="left" indent="2"/>
    </xf>
    <xf numFmtId="0" fontId="0" fillId="4" borderId="15" xfId="0" applyFill="1" applyBorder="1" applyAlignment="1">
      <alignment vertical="center"/>
    </xf>
    <xf numFmtId="164" fontId="0" fillId="4" borderId="19" xfId="0" applyNumberFormat="1" applyFill="1" applyBorder="1" applyAlignment="1">
      <alignment horizontal="right"/>
    </xf>
    <xf numFmtId="164" fontId="0" fillId="4" borderId="20" xfId="0" applyNumberFormat="1" applyFill="1" applyBorder="1" applyAlignment="1">
      <alignment horizontal="right"/>
    </xf>
    <xf numFmtId="164" fontId="0" fillId="4" borderId="18" xfId="0" applyNumberFormat="1" applyFill="1" applyBorder="1"/>
    <xf numFmtId="164" fontId="0" fillId="4" borderId="19" xfId="0" applyNumberFormat="1" applyFill="1" applyBorder="1"/>
    <xf numFmtId="164" fontId="0" fillId="4" borderId="20" xfId="0" applyNumberFormat="1" applyFill="1" applyBorder="1"/>
    <xf numFmtId="164" fontId="0" fillId="4" borderId="0" xfId="0" applyNumberFormat="1" applyFill="1" applyBorder="1" applyAlignment="1">
      <alignment vertical="center"/>
    </xf>
    <xf numFmtId="164" fontId="0" fillId="4" borderId="16" xfId="0" applyNumberFormat="1" applyFill="1" applyBorder="1" applyAlignment="1">
      <alignment horizontal="right"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0" fontId="8" fillId="7" borderId="12" xfId="0" applyFont="1" applyFill="1" applyBorder="1"/>
    <xf numFmtId="0" fontId="8" fillId="7" borderId="15" xfId="0" applyFont="1" applyFill="1" applyBorder="1"/>
    <xf numFmtId="0" fontId="0" fillId="4" borderId="16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left" vertical="center" wrapText="1" indent="2"/>
    </xf>
    <xf numFmtId="164" fontId="0" fillId="6" borderId="16" xfId="0" applyNumberFormat="1" applyFill="1" applyBorder="1" applyAlignment="1">
      <alignment horizontal="right" vertical="center"/>
    </xf>
    <xf numFmtId="164" fontId="0" fillId="6" borderId="7" xfId="0" applyNumberFormat="1" applyFill="1" applyBorder="1" applyAlignment="1">
      <alignment vertical="center"/>
    </xf>
    <xf numFmtId="164" fontId="0" fillId="6" borderId="0" xfId="0" applyNumberFormat="1" applyFill="1" applyBorder="1" applyAlignment="1">
      <alignment vertical="center"/>
    </xf>
    <xf numFmtId="164" fontId="0" fillId="6" borderId="8" xfId="0" applyNumberFormat="1" applyFill="1" applyBorder="1" applyAlignment="1">
      <alignment vertical="center"/>
    </xf>
    <xf numFmtId="0" fontId="4" fillId="4" borderId="6" xfId="0" applyFont="1" applyFill="1" applyBorder="1"/>
    <xf numFmtId="164" fontId="0" fillId="4" borderId="6" xfId="0" applyNumberFormat="1" applyFill="1" applyBorder="1"/>
    <xf numFmtId="44" fontId="0" fillId="6" borderId="16" xfId="0" applyNumberFormat="1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 applyAlignment="1">
      <alignment horizontal="left" indent="2"/>
    </xf>
    <xf numFmtId="0" fontId="0" fillId="6" borderId="19" xfId="0" applyFill="1" applyBorder="1" applyAlignment="1">
      <alignment horizontal="left" indent="2"/>
    </xf>
    <xf numFmtId="0" fontId="0" fillId="6" borderId="20" xfId="0" applyFill="1" applyBorder="1" applyAlignment="1">
      <alignment horizontal="left" indent="2"/>
    </xf>
    <xf numFmtId="0" fontId="3" fillId="4" borderId="0" xfId="3" applyFill="1" applyBorder="1" applyAlignment="1">
      <alignment horizontal="center"/>
    </xf>
    <xf numFmtId="164" fontId="0" fillId="4" borderId="13" xfId="0" applyNumberFormat="1" applyFill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7" borderId="18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164" fontId="0" fillId="4" borderId="12" xfId="0" applyNumberFormat="1" applyFill="1" applyBorder="1" applyAlignment="1">
      <alignment horizontal="right" vertical="center"/>
    </xf>
    <xf numFmtId="164" fontId="0" fillId="4" borderId="9" xfId="0" applyNumberFormat="1" applyFill="1" applyBorder="1" applyAlignment="1">
      <alignment horizontal="right" vertical="center"/>
    </xf>
    <xf numFmtId="164" fontId="0" fillId="4" borderId="12" xfId="0" applyNumberFormat="1" applyFill="1" applyBorder="1" applyAlignment="1">
      <alignment vertical="center"/>
    </xf>
    <xf numFmtId="164" fontId="0" fillId="4" borderId="9" xfId="0" applyNumberFormat="1" applyFill="1" applyBorder="1" applyAlignment="1">
      <alignment vertical="center"/>
    </xf>
    <xf numFmtId="164" fontId="0" fillId="4" borderId="14" xfId="0" applyNumberFormat="1" applyFill="1" applyBorder="1" applyAlignment="1">
      <alignment vertical="center"/>
    </xf>
    <xf numFmtId="164" fontId="0" fillId="4" borderId="11" xfId="0" applyNumberFormat="1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3" borderId="0" xfId="5" applyBorder="1" applyAlignment="1">
      <alignment horizont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" fillId="4" borderId="27" xfId="3" applyFill="1" applyBorder="1" applyAlignment="1">
      <alignment horizontal="center" vertical="center"/>
    </xf>
    <xf numFmtId="0" fontId="3" fillId="4" borderId="26" xfId="3" applyFill="1" applyBorder="1" applyAlignment="1">
      <alignment horizontal="center" vertical="center"/>
    </xf>
    <xf numFmtId="0" fontId="3" fillId="4" borderId="0" xfId="3" applyFill="1" applyBorder="1" applyAlignment="1">
      <alignment horizontal="center" vertical="center"/>
    </xf>
    <xf numFmtId="0" fontId="2" fillId="4" borderId="1" xfId="2" applyFill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</cellXfs>
  <cellStyles count="9">
    <cellStyle name="20% - Акцент1" xfId="5" builtinId="30"/>
    <cellStyle name="Акцент1" xfId="4" builtinId="29"/>
    <cellStyle name="Заголовок 1" xfId="2" builtinId="16"/>
    <cellStyle name="Заголовок 2" xfId="3" builtinId="17"/>
    <cellStyle name="Обычный" xfId="0" builtinId="0"/>
    <cellStyle name="Обычный 2" xfId="6"/>
    <cellStyle name="Процентный 2" xfId="8"/>
    <cellStyle name="Процентный 3" xfId="7"/>
    <cellStyle name="Финансовый" xfId="1" builtinId="3"/>
  </cellStyles>
  <dxfs count="0"/>
  <tableStyles count="0" defaultTableStyle="TableStyleMedium2" defaultPivotStyle="PivotStyleLight16"/>
  <colors>
    <mruColors>
      <color rgb="FF00FF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движения денежных средств (первый год деятельности предприятия)</a:t>
            </a:r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'Движение денежных средств'!$A$2</c:f>
              <c:strCache>
                <c:ptCount val="1"/>
                <c:pt idx="0">
                  <c:v>Сумма на конец периода</c:v>
                </c:pt>
              </c:strCache>
            </c:strRef>
          </c:tx>
          <c:marker>
            <c:symbol val="none"/>
          </c:marker>
          <c:dLbls>
            <c:delete val="1"/>
          </c:dLbls>
          <c:val>
            <c:numRef>
              <c:f>'Движение денежных средств'!$B$2:$M$2</c:f>
              <c:numCache>
                <c:formatCode>#,##0"р."</c:formatCode>
                <c:ptCount val="12"/>
                <c:pt idx="0">
                  <c:v>683460</c:v>
                </c:pt>
                <c:pt idx="1">
                  <c:v>674060</c:v>
                </c:pt>
                <c:pt idx="2">
                  <c:v>694285</c:v>
                </c:pt>
                <c:pt idx="3">
                  <c:v>750356.25</c:v>
                </c:pt>
                <c:pt idx="4">
                  <c:v>855501.3125</c:v>
                </c:pt>
                <c:pt idx="5">
                  <c:v>997775.38749999995</c:v>
                </c:pt>
                <c:pt idx="6">
                  <c:v>1167881.5574999999</c:v>
                </c:pt>
                <c:pt idx="7">
                  <c:v>1363048.3444999999</c:v>
                </c:pt>
                <c:pt idx="8">
                  <c:v>1575664.5645999999</c:v>
                </c:pt>
                <c:pt idx="9">
                  <c:v>1804952.9472675</c:v>
                </c:pt>
                <c:pt idx="10">
                  <c:v>2051898.3269980624</c:v>
                </c:pt>
                <c:pt idx="11">
                  <c:v>2315215.9757151529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dropLines/>
        <c:marker val="1"/>
        <c:smooth val="0"/>
        <c:axId val="86887040"/>
        <c:axId val="86889216"/>
      </c:lineChart>
      <c:catAx>
        <c:axId val="8688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Период</a:t>
                </a:r>
              </a:p>
            </c:rich>
          </c:tx>
          <c:overlay val="0"/>
        </c:title>
        <c:majorTickMark val="out"/>
        <c:minorTickMark val="none"/>
        <c:tickLblPos val="nextTo"/>
        <c:crossAx val="86889216"/>
        <c:crosses val="autoZero"/>
        <c:auto val="1"/>
        <c:lblAlgn val="ctr"/>
        <c:lblOffset val="100"/>
        <c:noMultiLvlLbl val="0"/>
      </c:catAx>
      <c:valAx>
        <c:axId val="86889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Сумма (рублей)</a:t>
                </a:r>
              </a:p>
            </c:rich>
          </c:tx>
          <c:overlay val="0"/>
        </c:title>
        <c:numFmt formatCode="#,##0&quot;р.&quot;" sourceLinked="1"/>
        <c:majorTickMark val="out"/>
        <c:minorTickMark val="none"/>
        <c:tickLblPos val="nextTo"/>
        <c:crossAx val="8688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15</xdr:col>
      <xdr:colOff>9524</xdr:colOff>
      <xdr:row>20</xdr:row>
      <xdr:rowOff>119063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topLeftCell="A7" workbookViewId="0">
      <selection activeCell="C8" sqref="C8:N8"/>
    </sheetView>
  </sheetViews>
  <sheetFormatPr defaultRowHeight="15" x14ac:dyDescent="0.25"/>
  <cols>
    <col min="1" max="1" width="36.85546875" style="45" customWidth="1"/>
    <col min="2" max="2" width="15.7109375" style="45" bestFit="1" customWidth="1"/>
    <col min="3" max="21" width="11.7109375" style="45" customWidth="1"/>
    <col min="22" max="26" width="13.28515625" style="45" customWidth="1"/>
    <col min="27" max="16384" width="9.140625" style="45"/>
  </cols>
  <sheetData>
    <row r="1" spans="1:26" s="49" customFormat="1" ht="19.5" x14ac:dyDescent="0.3">
      <c r="A1" s="48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 t="s">
        <v>1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51" customFormat="1" ht="17.25" x14ac:dyDescent="0.3">
      <c r="A2" s="50"/>
      <c r="B2" s="50"/>
      <c r="C2" s="50"/>
      <c r="D2" s="50"/>
      <c r="E2" s="97" t="s">
        <v>2</v>
      </c>
      <c r="F2" s="97"/>
      <c r="G2" s="97"/>
      <c r="H2" s="97" t="s">
        <v>3</v>
      </c>
      <c r="I2" s="97"/>
      <c r="J2" s="50"/>
      <c r="K2" s="50"/>
      <c r="L2" s="50"/>
      <c r="M2" s="50"/>
      <c r="N2" s="50"/>
      <c r="O2" s="50"/>
      <c r="P2" s="50"/>
      <c r="Q2" s="97" t="s">
        <v>2</v>
      </c>
      <c r="R2" s="97"/>
      <c r="S2" s="97"/>
      <c r="T2" s="97" t="s">
        <v>3</v>
      </c>
      <c r="U2" s="97"/>
      <c r="V2" s="50"/>
      <c r="W2" s="50"/>
      <c r="X2" s="50"/>
      <c r="Y2" s="50"/>
      <c r="Z2" s="50"/>
    </row>
    <row r="3" spans="1:26" x14ac:dyDescent="0.25">
      <c r="A3" s="4" t="s">
        <v>4</v>
      </c>
      <c r="B3" s="4" t="s">
        <v>5</v>
      </c>
      <c r="C3" s="4"/>
      <c r="D3" s="4"/>
      <c r="E3" s="4"/>
      <c r="F3" s="4"/>
      <c r="G3" s="4"/>
      <c r="H3" s="4" t="s">
        <v>6</v>
      </c>
      <c r="I3" s="4"/>
      <c r="J3" s="4"/>
      <c r="K3" s="4"/>
      <c r="L3" s="4"/>
      <c r="M3" s="4"/>
      <c r="N3" s="4"/>
      <c r="O3" s="4" t="s">
        <v>5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 t="s">
        <v>7</v>
      </c>
      <c r="B4" s="4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 t="s">
        <v>9</v>
      </c>
      <c r="B5" s="4" t="s">
        <v>10</v>
      </c>
      <c r="C5" s="4"/>
      <c r="D5" s="4"/>
      <c r="E5" s="4"/>
      <c r="F5" s="4"/>
      <c r="G5" s="4"/>
      <c r="H5" s="123"/>
      <c r="I5" s="5"/>
      <c r="J5" s="4"/>
      <c r="K5" s="4"/>
      <c r="L5" s="4"/>
      <c r="M5" s="4"/>
      <c r="N5" s="4"/>
      <c r="O5" s="4" t="s">
        <v>10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thickBot="1" x14ac:dyDescent="0.3">
      <c r="A6" s="4" t="s">
        <v>11</v>
      </c>
      <c r="B6" s="4" t="s">
        <v>12</v>
      </c>
      <c r="C6" s="4"/>
      <c r="D6" s="4"/>
      <c r="E6" s="4"/>
      <c r="F6" s="4"/>
      <c r="G6" s="4"/>
      <c r="H6" s="123"/>
      <c r="I6" s="4"/>
      <c r="J6" s="4"/>
      <c r="K6" s="4"/>
      <c r="L6" s="4"/>
      <c r="M6" s="4"/>
      <c r="N6" s="4"/>
      <c r="O6" s="4" t="s">
        <v>12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2" customFormat="1" ht="16.5" thickBot="1" x14ac:dyDescent="0.3">
      <c r="A7" s="81" t="s">
        <v>102</v>
      </c>
      <c r="B7" s="82">
        <v>2</v>
      </c>
      <c r="C7" s="102" t="s">
        <v>104</v>
      </c>
      <c r="D7" s="103"/>
      <c r="E7" s="103"/>
      <c r="F7" s="10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16"/>
    </row>
    <row r="8" spans="1:26" ht="15.75" thickBot="1" x14ac:dyDescent="0.3">
      <c r="A8" s="120" t="s">
        <v>13</v>
      </c>
      <c r="B8" s="71"/>
      <c r="C8" s="124" t="s">
        <v>38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 t="s">
        <v>39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5"/>
    </row>
    <row r="9" spans="1:26" x14ac:dyDescent="0.25">
      <c r="A9" s="121"/>
      <c r="B9" s="118" t="s">
        <v>14</v>
      </c>
      <c r="C9" s="100" t="s">
        <v>15</v>
      </c>
      <c r="D9" s="100" t="s">
        <v>16</v>
      </c>
      <c r="E9" s="100" t="s">
        <v>17</v>
      </c>
      <c r="F9" s="100" t="s">
        <v>18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  <c r="S9" s="100" t="s">
        <v>31</v>
      </c>
      <c r="T9" s="100" t="s">
        <v>32</v>
      </c>
      <c r="U9" s="100" t="s">
        <v>33</v>
      </c>
      <c r="V9" s="100" t="s">
        <v>34</v>
      </c>
      <c r="W9" s="100" t="s">
        <v>35</v>
      </c>
      <c r="X9" s="100" t="s">
        <v>36</v>
      </c>
      <c r="Y9" s="100" t="s">
        <v>37</v>
      </c>
      <c r="Z9" s="104" t="s">
        <v>93</v>
      </c>
    </row>
    <row r="10" spans="1:26" ht="15.75" thickBot="1" x14ac:dyDescent="0.3">
      <c r="A10" s="122"/>
      <c r="B10" s="11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5"/>
    </row>
    <row r="11" spans="1:26" x14ac:dyDescent="0.25">
      <c r="A11" s="6" t="s">
        <v>40</v>
      </c>
      <c r="B11" s="59">
        <f>SUM(B22:B24)</f>
        <v>954000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6"/>
    </row>
    <row r="12" spans="1:26" ht="15.75" thickBot="1" x14ac:dyDescent="0.3">
      <c r="A12" s="40" t="s">
        <v>41</v>
      </c>
      <c r="B12" s="59">
        <f>B11</f>
        <v>954000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6"/>
    </row>
    <row r="13" spans="1:26" x14ac:dyDescent="0.25">
      <c r="A13" s="106" t="s">
        <v>109</v>
      </c>
      <c r="B13" s="108">
        <v>0</v>
      </c>
      <c r="C13" s="110">
        <f>SUM(C16:C17)</f>
        <v>80000</v>
      </c>
      <c r="D13" s="98">
        <f t="shared" ref="D13:Y13" si="0">SUM(D16:D17)</f>
        <v>112500</v>
      </c>
      <c r="E13" s="98">
        <f t="shared" si="0"/>
        <v>159375</v>
      </c>
      <c r="F13" s="98">
        <f t="shared" si="0"/>
        <v>216093.75</v>
      </c>
      <c r="G13" s="98">
        <f t="shared" si="0"/>
        <v>293742.1875</v>
      </c>
      <c r="H13" s="98">
        <f t="shared" si="0"/>
        <v>352490.625</v>
      </c>
      <c r="I13" s="98">
        <f t="shared" si="0"/>
        <v>396528.75</v>
      </c>
      <c r="J13" s="98">
        <f t="shared" si="0"/>
        <v>436181.625</v>
      </c>
      <c r="K13" s="98">
        <f t="shared" si="0"/>
        <v>463791.48749999999</v>
      </c>
      <c r="L13" s="98">
        <f t="shared" si="0"/>
        <v>490171.49156250001</v>
      </c>
      <c r="M13" s="98">
        <f t="shared" si="0"/>
        <v>518109.77805468754</v>
      </c>
      <c r="N13" s="98">
        <f t="shared" si="0"/>
        <v>544015.2669574219</v>
      </c>
      <c r="O13" s="98">
        <f t="shared" si="0"/>
        <v>571216.03030529292</v>
      </c>
      <c r="P13" s="98">
        <f t="shared" si="0"/>
        <v>599776.83182055759</v>
      </c>
      <c r="Q13" s="98">
        <f t="shared" si="0"/>
        <v>629765.67341158551</v>
      </c>
      <c r="R13" s="98">
        <f t="shared" si="0"/>
        <v>661253.95708216482</v>
      </c>
      <c r="S13" s="98">
        <f t="shared" si="0"/>
        <v>694316.654936273</v>
      </c>
      <c r="T13" s="98">
        <f t="shared" si="0"/>
        <v>729032.48768308666</v>
      </c>
      <c r="U13" s="98">
        <f t="shared" si="0"/>
        <v>765484.11206724099</v>
      </c>
      <c r="V13" s="98">
        <f t="shared" si="0"/>
        <v>799400.48564787151</v>
      </c>
      <c r="W13" s="98">
        <f t="shared" si="0"/>
        <v>834881.94294685172</v>
      </c>
      <c r="X13" s="98">
        <f t="shared" si="0"/>
        <v>872002.81610127853</v>
      </c>
      <c r="Y13" s="98">
        <f t="shared" si="0"/>
        <v>910841.03619363916</v>
      </c>
      <c r="Z13" s="112">
        <f>SUM(Z16:Z17)</f>
        <v>950252.11508571566</v>
      </c>
    </row>
    <row r="14" spans="1:26" ht="15.75" thickBot="1" x14ac:dyDescent="0.3">
      <c r="A14" s="107"/>
      <c r="B14" s="109"/>
      <c r="C14" s="11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113"/>
    </row>
    <row r="15" spans="1:26" x14ac:dyDescent="0.25">
      <c r="A15" s="83" t="s">
        <v>47</v>
      </c>
      <c r="B15" s="85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1:26" ht="30" x14ac:dyDescent="0.25">
      <c r="A16" s="84" t="s">
        <v>110</v>
      </c>
      <c r="B16" s="78">
        <v>0</v>
      </c>
      <c r="C16" s="79">
        <f>25000*B7</f>
        <v>50000</v>
      </c>
      <c r="D16" s="77">
        <f>C16+C16*50%</f>
        <v>75000</v>
      </c>
      <c r="E16" s="77">
        <f>D16+D16*50%</f>
        <v>112500</v>
      </c>
      <c r="F16" s="77">
        <f>E16+E16*40%</f>
        <v>157500</v>
      </c>
      <c r="G16" s="77">
        <f>F16+F16*40%</f>
        <v>220500</v>
      </c>
      <c r="H16" s="77">
        <f>G16+G16*20%</f>
        <v>264600</v>
      </c>
      <c r="I16" s="77">
        <f>H16+H16*10%</f>
        <v>291060</v>
      </c>
      <c r="J16" s="77">
        <f>I16+I16*10%</f>
        <v>320166</v>
      </c>
      <c r="K16" s="77">
        <f t="shared" ref="K16:Z16" si="1">J16+J16*5%</f>
        <v>336174.3</v>
      </c>
      <c r="L16" s="77">
        <f t="shared" si="1"/>
        <v>352983.01500000001</v>
      </c>
      <c r="M16" s="77">
        <f t="shared" si="1"/>
        <v>370632.16575000004</v>
      </c>
      <c r="N16" s="77">
        <f t="shared" si="1"/>
        <v>389163.77403750003</v>
      </c>
      <c r="O16" s="77">
        <f t="shared" si="1"/>
        <v>408621.96273937501</v>
      </c>
      <c r="P16" s="77">
        <f t="shared" si="1"/>
        <v>429053.06087634375</v>
      </c>
      <c r="Q16" s="77">
        <f t="shared" si="1"/>
        <v>450505.71392016095</v>
      </c>
      <c r="R16" s="77">
        <f t="shared" si="1"/>
        <v>473030.99961616902</v>
      </c>
      <c r="S16" s="77">
        <f t="shared" si="1"/>
        <v>496682.54959697748</v>
      </c>
      <c r="T16" s="77">
        <f t="shared" si="1"/>
        <v>521516.67707682634</v>
      </c>
      <c r="U16" s="77">
        <f t="shared" si="1"/>
        <v>547592.51093066763</v>
      </c>
      <c r="V16" s="77">
        <f t="shared" si="1"/>
        <v>574972.13647720101</v>
      </c>
      <c r="W16" s="77">
        <f t="shared" si="1"/>
        <v>603720.7433010611</v>
      </c>
      <c r="X16" s="77">
        <f t="shared" si="1"/>
        <v>633906.78046611417</v>
      </c>
      <c r="Y16" s="77">
        <f t="shared" si="1"/>
        <v>665602.11948941986</v>
      </c>
      <c r="Z16" s="80">
        <f t="shared" si="1"/>
        <v>698882.22546389082</v>
      </c>
    </row>
    <row r="17" spans="1:26" ht="30.75" thickBot="1" x14ac:dyDescent="0.3">
      <c r="A17" s="84" t="s">
        <v>111</v>
      </c>
      <c r="B17" s="78">
        <v>0</v>
      </c>
      <c r="C17" s="79">
        <f>15000*B7</f>
        <v>30000</v>
      </c>
      <c r="D17" s="77">
        <f>C17+C17*25%</f>
        <v>37500</v>
      </c>
      <c r="E17" s="77">
        <f t="shared" ref="E17:G17" si="2">D17+D17*25%</f>
        <v>46875</v>
      </c>
      <c r="F17" s="77">
        <f t="shared" si="2"/>
        <v>58593.75</v>
      </c>
      <c r="G17" s="77">
        <f t="shared" si="2"/>
        <v>73242.1875</v>
      </c>
      <c r="H17" s="77">
        <f>G17+G17*20%</f>
        <v>87890.625</v>
      </c>
      <c r="I17" s="77">
        <f>H17+H17*20%</f>
        <v>105468.75</v>
      </c>
      <c r="J17" s="77">
        <f>I17+I17*10%</f>
        <v>116015.625</v>
      </c>
      <c r="K17" s="77">
        <f>J17+J17*10%</f>
        <v>127617.1875</v>
      </c>
      <c r="L17" s="77">
        <f>K17+K17*7.5%</f>
        <v>137188.4765625</v>
      </c>
      <c r="M17" s="77">
        <f>L17+L17*7.5%</f>
        <v>147477.6123046875</v>
      </c>
      <c r="N17" s="77">
        <f t="shared" ref="N17:U17" si="3">M17+M17*5%</f>
        <v>154851.49291992187</v>
      </c>
      <c r="O17" s="77">
        <f t="shared" si="3"/>
        <v>162594.06756591797</v>
      </c>
      <c r="P17" s="77">
        <f t="shared" si="3"/>
        <v>170723.77094421387</v>
      </c>
      <c r="Q17" s="77">
        <f t="shared" si="3"/>
        <v>179259.95949142455</v>
      </c>
      <c r="R17" s="77">
        <f t="shared" si="3"/>
        <v>188222.95746599577</v>
      </c>
      <c r="S17" s="77">
        <f t="shared" si="3"/>
        <v>197634.10533929555</v>
      </c>
      <c r="T17" s="77">
        <f t="shared" si="3"/>
        <v>207515.81060626032</v>
      </c>
      <c r="U17" s="77">
        <f t="shared" si="3"/>
        <v>217891.60113657333</v>
      </c>
      <c r="V17" s="77">
        <f>U17+U17*3%</f>
        <v>224428.34917067052</v>
      </c>
      <c r="W17" s="77">
        <f>V17+V17*3%</f>
        <v>231161.19964579065</v>
      </c>
      <c r="X17" s="77">
        <f>W17+W17*3%</f>
        <v>238096.03563516436</v>
      </c>
      <c r="Y17" s="77">
        <f>X17+X17*3%</f>
        <v>245238.9167042193</v>
      </c>
      <c r="Z17" s="80">
        <f>Y17+Y17*2.5%</f>
        <v>251369.88962182478</v>
      </c>
    </row>
    <row r="18" spans="1:26" ht="15.75" thickBot="1" x14ac:dyDescent="0.3">
      <c r="A18" s="89" t="s">
        <v>50</v>
      </c>
      <c r="B18" s="90">
        <f>B11</f>
        <v>954000</v>
      </c>
      <c r="C18" s="74">
        <f>SUM(C27:C36)</f>
        <v>149940</v>
      </c>
      <c r="D18" s="75">
        <f t="shared" ref="D18:Z18" si="4">SUM(D27:D36)</f>
        <v>121900</v>
      </c>
      <c r="E18" s="75">
        <f t="shared" si="4"/>
        <v>139150</v>
      </c>
      <c r="F18" s="75">
        <f t="shared" si="4"/>
        <v>160022.5</v>
      </c>
      <c r="G18" s="75">
        <f t="shared" si="4"/>
        <v>188597.125</v>
      </c>
      <c r="H18" s="75">
        <f t="shared" si="4"/>
        <v>210216.55</v>
      </c>
      <c r="I18" s="75">
        <f t="shared" si="4"/>
        <v>226422.58000000002</v>
      </c>
      <c r="J18" s="75">
        <f t="shared" si="4"/>
        <v>241014.83800000002</v>
      </c>
      <c r="K18" s="75">
        <f t="shared" si="4"/>
        <v>251175.26739999998</v>
      </c>
      <c r="L18" s="75">
        <f t="shared" si="4"/>
        <v>260883.10889500001</v>
      </c>
      <c r="M18" s="75">
        <f t="shared" si="4"/>
        <v>271164.39832412498</v>
      </c>
      <c r="N18" s="75">
        <f t="shared" si="4"/>
        <v>280697.61824033124</v>
      </c>
      <c r="O18" s="75">
        <f t="shared" si="4"/>
        <v>290707.49915234779</v>
      </c>
      <c r="P18" s="75">
        <f t="shared" si="4"/>
        <v>301217.87410996523</v>
      </c>
      <c r="Q18" s="75">
        <f t="shared" si="4"/>
        <v>312253.76781546348</v>
      </c>
      <c r="R18" s="75">
        <f t="shared" si="4"/>
        <v>323841.45620623667</v>
      </c>
      <c r="S18" s="75">
        <f t="shared" si="4"/>
        <v>336008.52901654848</v>
      </c>
      <c r="T18" s="75">
        <f t="shared" si="4"/>
        <v>348783.95546737593</v>
      </c>
      <c r="U18" s="75">
        <f t="shared" si="4"/>
        <v>362198.15324074472</v>
      </c>
      <c r="V18" s="75">
        <f t="shared" si="4"/>
        <v>374679.37871841673</v>
      </c>
      <c r="W18" s="75">
        <f t="shared" si="4"/>
        <v>387736.55500444141</v>
      </c>
      <c r="X18" s="75">
        <f t="shared" si="4"/>
        <v>401397.03632527054</v>
      </c>
      <c r="Y18" s="75">
        <f t="shared" si="4"/>
        <v>415689.50131925923</v>
      </c>
      <c r="Z18" s="76">
        <f t="shared" si="4"/>
        <v>430192.77835154335</v>
      </c>
    </row>
    <row r="19" spans="1:26" x14ac:dyDescent="0.25">
      <c r="A19" s="7" t="s">
        <v>47</v>
      </c>
      <c r="B19" s="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1:26" x14ac:dyDescent="0.25">
      <c r="A20" s="8" t="s">
        <v>94</v>
      </c>
      <c r="B20" s="60">
        <f>B11</f>
        <v>954000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1:26" x14ac:dyDescent="0.25">
      <c r="A21" s="8" t="s">
        <v>47</v>
      </c>
      <c r="B21" s="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</row>
    <row r="22" spans="1:26" s="46" customFormat="1" x14ac:dyDescent="0.25">
      <c r="A22" s="44" t="s">
        <v>105</v>
      </c>
      <c r="B22" s="61">
        <f>(85000+85000*0.18)*B7</f>
        <v>200600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s="46" customFormat="1" ht="30" x14ac:dyDescent="0.25">
      <c r="A23" s="55" t="s">
        <v>106</v>
      </c>
      <c r="B23" s="61">
        <f>(65000+65000*0.18)*B7</f>
        <v>153400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s="46" customFormat="1" ht="15.75" thickBot="1" x14ac:dyDescent="0.3">
      <c r="A24" s="47" t="s">
        <v>95</v>
      </c>
      <c r="B24" s="62">
        <f>300000*B7</f>
        <v>600000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</row>
    <row r="25" spans="1:26" s="46" customFormat="1" ht="15.75" thickBot="1" x14ac:dyDescent="0.3">
      <c r="A25" s="58" t="s">
        <v>96</v>
      </c>
      <c r="B25" s="63"/>
      <c r="C25" s="72">
        <f>SUM(C27:C36)</f>
        <v>149940</v>
      </c>
      <c r="D25" s="72">
        <f t="shared" ref="D25:Z25" si="5">SUM(D27:D36)</f>
        <v>121900</v>
      </c>
      <c r="E25" s="72">
        <f t="shared" si="5"/>
        <v>139150</v>
      </c>
      <c r="F25" s="72">
        <f t="shared" si="5"/>
        <v>160022.5</v>
      </c>
      <c r="G25" s="72">
        <f t="shared" si="5"/>
        <v>188597.125</v>
      </c>
      <c r="H25" s="72">
        <f t="shared" si="5"/>
        <v>210216.55</v>
      </c>
      <c r="I25" s="72">
        <f t="shared" si="5"/>
        <v>226422.58000000002</v>
      </c>
      <c r="J25" s="72">
        <f t="shared" si="5"/>
        <v>241014.83800000002</v>
      </c>
      <c r="K25" s="72">
        <f t="shared" si="5"/>
        <v>251175.26739999998</v>
      </c>
      <c r="L25" s="72">
        <f t="shared" si="5"/>
        <v>260883.10889500001</v>
      </c>
      <c r="M25" s="72">
        <f t="shared" si="5"/>
        <v>271164.39832412498</v>
      </c>
      <c r="N25" s="72">
        <f t="shared" si="5"/>
        <v>280697.61824033124</v>
      </c>
      <c r="O25" s="72">
        <f t="shared" si="5"/>
        <v>290707.49915234779</v>
      </c>
      <c r="P25" s="72">
        <f t="shared" si="5"/>
        <v>301217.87410996523</v>
      </c>
      <c r="Q25" s="72">
        <f t="shared" si="5"/>
        <v>312253.76781546348</v>
      </c>
      <c r="R25" s="72">
        <f t="shared" si="5"/>
        <v>323841.45620623667</v>
      </c>
      <c r="S25" s="72">
        <f t="shared" si="5"/>
        <v>336008.52901654848</v>
      </c>
      <c r="T25" s="72">
        <f t="shared" si="5"/>
        <v>348783.95546737593</v>
      </c>
      <c r="U25" s="72">
        <f t="shared" si="5"/>
        <v>362198.15324074472</v>
      </c>
      <c r="V25" s="72">
        <f t="shared" si="5"/>
        <v>374679.37871841673</v>
      </c>
      <c r="W25" s="72">
        <f t="shared" si="5"/>
        <v>387736.55500444141</v>
      </c>
      <c r="X25" s="72">
        <f t="shared" si="5"/>
        <v>401397.03632527054</v>
      </c>
      <c r="Y25" s="72">
        <f t="shared" si="5"/>
        <v>415689.50131925923</v>
      </c>
      <c r="Z25" s="73">
        <f t="shared" si="5"/>
        <v>430192.77835154335</v>
      </c>
    </row>
    <row r="26" spans="1:26" s="46" customFormat="1" ht="15.75" thickBot="1" x14ac:dyDescent="0.3">
      <c r="A26" s="8" t="s">
        <v>47</v>
      </c>
      <c r="B26" s="64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6"/>
    </row>
    <row r="27" spans="1:26" x14ac:dyDescent="0.25">
      <c r="A27" s="44" t="s">
        <v>112</v>
      </c>
      <c r="B27" s="91"/>
      <c r="C27" s="9">
        <f>(C13*20%)</f>
        <v>16000</v>
      </c>
      <c r="D27" s="10">
        <f t="shared" ref="D27:Z27" si="6">(D13*20%)</f>
        <v>22500</v>
      </c>
      <c r="E27" s="10">
        <f t="shared" si="6"/>
        <v>31875</v>
      </c>
      <c r="F27" s="10">
        <f t="shared" si="6"/>
        <v>43218.75</v>
      </c>
      <c r="G27" s="10">
        <f t="shared" si="6"/>
        <v>58748.4375</v>
      </c>
      <c r="H27" s="10">
        <f t="shared" si="6"/>
        <v>70498.125</v>
      </c>
      <c r="I27" s="10">
        <f t="shared" si="6"/>
        <v>79305.75</v>
      </c>
      <c r="J27" s="10">
        <f t="shared" si="6"/>
        <v>87236.325000000012</v>
      </c>
      <c r="K27" s="10">
        <f t="shared" si="6"/>
        <v>92758.297500000001</v>
      </c>
      <c r="L27" s="10">
        <f t="shared" si="6"/>
        <v>98034.298312500003</v>
      </c>
      <c r="M27" s="10">
        <f t="shared" si="6"/>
        <v>103621.95561093751</v>
      </c>
      <c r="N27" s="10">
        <f t="shared" si="6"/>
        <v>108803.05339148438</v>
      </c>
      <c r="O27" s="10">
        <f t="shared" si="6"/>
        <v>114243.20606105859</v>
      </c>
      <c r="P27" s="10">
        <f t="shared" si="6"/>
        <v>119955.36636411153</v>
      </c>
      <c r="Q27" s="10">
        <f t="shared" si="6"/>
        <v>125953.1346823171</v>
      </c>
      <c r="R27" s="10">
        <f t="shared" si="6"/>
        <v>132250.79141643297</v>
      </c>
      <c r="S27" s="10">
        <f t="shared" si="6"/>
        <v>138863.33098725459</v>
      </c>
      <c r="T27" s="10">
        <f t="shared" si="6"/>
        <v>145806.49753661733</v>
      </c>
      <c r="U27" s="10">
        <f t="shared" si="6"/>
        <v>153096.82241344822</v>
      </c>
      <c r="V27" s="10">
        <f t="shared" si="6"/>
        <v>159880.09712957431</v>
      </c>
      <c r="W27" s="10">
        <f t="shared" si="6"/>
        <v>166976.38858937036</v>
      </c>
      <c r="X27" s="10">
        <f t="shared" si="6"/>
        <v>174400.56322025572</v>
      </c>
      <c r="Y27" s="10">
        <f t="shared" si="6"/>
        <v>182168.20723872783</v>
      </c>
      <c r="Z27" s="11">
        <f t="shared" si="6"/>
        <v>190050.42301714316</v>
      </c>
    </row>
    <row r="28" spans="1:26" x14ac:dyDescent="0.25">
      <c r="A28" s="44" t="s">
        <v>42</v>
      </c>
      <c r="B28" s="92"/>
      <c r="C28" s="9">
        <f>10000*$B$7</f>
        <v>20000</v>
      </c>
      <c r="D28" s="10">
        <f t="shared" ref="D28:Z28" si="7">10000*$B$7</f>
        <v>20000</v>
      </c>
      <c r="E28" s="10">
        <f t="shared" si="7"/>
        <v>20000</v>
      </c>
      <c r="F28" s="10">
        <f t="shared" si="7"/>
        <v>20000</v>
      </c>
      <c r="G28" s="10">
        <f t="shared" si="7"/>
        <v>20000</v>
      </c>
      <c r="H28" s="10">
        <f t="shared" si="7"/>
        <v>20000</v>
      </c>
      <c r="I28" s="10">
        <f t="shared" si="7"/>
        <v>20000</v>
      </c>
      <c r="J28" s="10">
        <f t="shared" si="7"/>
        <v>20000</v>
      </c>
      <c r="K28" s="10">
        <f t="shared" si="7"/>
        <v>20000</v>
      </c>
      <c r="L28" s="10">
        <f t="shared" si="7"/>
        <v>20000</v>
      </c>
      <c r="M28" s="10">
        <f t="shared" si="7"/>
        <v>20000</v>
      </c>
      <c r="N28" s="10">
        <f t="shared" si="7"/>
        <v>20000</v>
      </c>
      <c r="O28" s="10">
        <f t="shared" si="7"/>
        <v>20000</v>
      </c>
      <c r="P28" s="10">
        <f t="shared" si="7"/>
        <v>20000</v>
      </c>
      <c r="Q28" s="10">
        <f t="shared" si="7"/>
        <v>20000</v>
      </c>
      <c r="R28" s="10">
        <f t="shared" si="7"/>
        <v>20000</v>
      </c>
      <c r="S28" s="10">
        <f t="shared" si="7"/>
        <v>20000</v>
      </c>
      <c r="T28" s="10">
        <f t="shared" si="7"/>
        <v>20000</v>
      </c>
      <c r="U28" s="10">
        <f t="shared" si="7"/>
        <v>20000</v>
      </c>
      <c r="V28" s="10">
        <f t="shared" si="7"/>
        <v>20000</v>
      </c>
      <c r="W28" s="10">
        <f t="shared" si="7"/>
        <v>20000</v>
      </c>
      <c r="X28" s="10">
        <f t="shared" si="7"/>
        <v>20000</v>
      </c>
      <c r="Y28" s="10">
        <f t="shared" si="7"/>
        <v>20000</v>
      </c>
      <c r="Z28" s="11">
        <f t="shared" si="7"/>
        <v>20000</v>
      </c>
    </row>
    <row r="29" spans="1:26" x14ac:dyDescent="0.25">
      <c r="A29" s="44" t="s">
        <v>48</v>
      </c>
      <c r="B29" s="92"/>
      <c r="C29" s="9">
        <f>7000*$B$7</f>
        <v>14000</v>
      </c>
      <c r="D29" s="10">
        <f t="shared" ref="D29:Z29" si="8">7000*$B$7</f>
        <v>14000</v>
      </c>
      <c r="E29" s="10">
        <f t="shared" si="8"/>
        <v>14000</v>
      </c>
      <c r="F29" s="10">
        <f t="shared" si="8"/>
        <v>14000</v>
      </c>
      <c r="G29" s="10">
        <f t="shared" si="8"/>
        <v>14000</v>
      </c>
      <c r="H29" s="10">
        <f t="shared" si="8"/>
        <v>14000</v>
      </c>
      <c r="I29" s="10">
        <f t="shared" si="8"/>
        <v>14000</v>
      </c>
      <c r="J29" s="10">
        <f t="shared" si="8"/>
        <v>14000</v>
      </c>
      <c r="K29" s="10">
        <f t="shared" si="8"/>
        <v>14000</v>
      </c>
      <c r="L29" s="10">
        <f t="shared" si="8"/>
        <v>14000</v>
      </c>
      <c r="M29" s="10">
        <f t="shared" si="8"/>
        <v>14000</v>
      </c>
      <c r="N29" s="10">
        <f t="shared" si="8"/>
        <v>14000</v>
      </c>
      <c r="O29" s="10">
        <f t="shared" si="8"/>
        <v>14000</v>
      </c>
      <c r="P29" s="10">
        <f t="shared" si="8"/>
        <v>14000</v>
      </c>
      <c r="Q29" s="10">
        <f t="shared" si="8"/>
        <v>14000</v>
      </c>
      <c r="R29" s="10">
        <f t="shared" si="8"/>
        <v>14000</v>
      </c>
      <c r="S29" s="10">
        <f t="shared" si="8"/>
        <v>14000</v>
      </c>
      <c r="T29" s="10">
        <f t="shared" si="8"/>
        <v>14000</v>
      </c>
      <c r="U29" s="10">
        <f t="shared" si="8"/>
        <v>14000</v>
      </c>
      <c r="V29" s="10">
        <f t="shared" si="8"/>
        <v>14000</v>
      </c>
      <c r="W29" s="10">
        <f t="shared" si="8"/>
        <v>14000</v>
      </c>
      <c r="X29" s="10">
        <f t="shared" si="8"/>
        <v>14000</v>
      </c>
      <c r="Y29" s="10">
        <f t="shared" si="8"/>
        <v>14000</v>
      </c>
      <c r="Z29" s="11">
        <f t="shared" si="8"/>
        <v>14000</v>
      </c>
    </row>
    <row r="30" spans="1:26" x14ac:dyDescent="0.25">
      <c r="A30" s="44" t="s">
        <v>43</v>
      </c>
      <c r="B30" s="92"/>
      <c r="C30" s="9">
        <f>$B$7*10000</f>
        <v>20000</v>
      </c>
      <c r="D30" s="10">
        <f t="shared" ref="D30:Z31" si="9">$B$7*10000</f>
        <v>20000</v>
      </c>
      <c r="E30" s="10">
        <f t="shared" si="9"/>
        <v>20000</v>
      </c>
      <c r="F30" s="10">
        <f t="shared" si="9"/>
        <v>20000</v>
      </c>
      <c r="G30" s="10">
        <f t="shared" si="9"/>
        <v>20000</v>
      </c>
      <c r="H30" s="10">
        <f t="shared" si="9"/>
        <v>20000</v>
      </c>
      <c r="I30" s="10">
        <f t="shared" si="9"/>
        <v>20000</v>
      </c>
      <c r="J30" s="10">
        <f t="shared" si="9"/>
        <v>20000</v>
      </c>
      <c r="K30" s="10">
        <f t="shared" si="9"/>
        <v>20000</v>
      </c>
      <c r="L30" s="10">
        <f t="shared" si="9"/>
        <v>20000</v>
      </c>
      <c r="M30" s="10">
        <f t="shared" si="9"/>
        <v>20000</v>
      </c>
      <c r="N30" s="10">
        <f t="shared" si="9"/>
        <v>20000</v>
      </c>
      <c r="O30" s="10">
        <f t="shared" si="9"/>
        <v>20000</v>
      </c>
      <c r="P30" s="10">
        <f t="shared" si="9"/>
        <v>20000</v>
      </c>
      <c r="Q30" s="10">
        <f t="shared" si="9"/>
        <v>20000</v>
      </c>
      <c r="R30" s="10">
        <f t="shared" si="9"/>
        <v>20000</v>
      </c>
      <c r="S30" s="10">
        <f t="shared" si="9"/>
        <v>20000</v>
      </c>
      <c r="T30" s="10">
        <f t="shared" si="9"/>
        <v>20000</v>
      </c>
      <c r="U30" s="10">
        <f t="shared" si="9"/>
        <v>20000</v>
      </c>
      <c r="V30" s="10">
        <f t="shared" si="9"/>
        <v>20000</v>
      </c>
      <c r="W30" s="10">
        <f t="shared" si="9"/>
        <v>20000</v>
      </c>
      <c r="X30" s="10">
        <f t="shared" si="9"/>
        <v>20000</v>
      </c>
      <c r="Y30" s="10">
        <f t="shared" si="9"/>
        <v>20000</v>
      </c>
      <c r="Z30" s="11">
        <f t="shared" si="9"/>
        <v>20000</v>
      </c>
    </row>
    <row r="31" spans="1:26" x14ac:dyDescent="0.25">
      <c r="A31" s="44" t="s">
        <v>44</v>
      </c>
      <c r="B31" s="92"/>
      <c r="C31" s="9">
        <f>$B$7*30000</f>
        <v>60000</v>
      </c>
      <c r="D31" s="10">
        <f>$B$7*10000</f>
        <v>20000</v>
      </c>
      <c r="E31" s="10">
        <f t="shared" si="9"/>
        <v>20000</v>
      </c>
      <c r="F31" s="10">
        <f t="shared" si="9"/>
        <v>20000</v>
      </c>
      <c r="G31" s="10">
        <f t="shared" si="9"/>
        <v>20000</v>
      </c>
      <c r="H31" s="10">
        <f t="shared" si="9"/>
        <v>20000</v>
      </c>
      <c r="I31" s="10">
        <f t="shared" si="9"/>
        <v>20000</v>
      </c>
      <c r="J31" s="10">
        <f t="shared" si="9"/>
        <v>20000</v>
      </c>
      <c r="K31" s="10">
        <f t="shared" si="9"/>
        <v>20000</v>
      </c>
      <c r="L31" s="10">
        <f t="shared" si="9"/>
        <v>20000</v>
      </c>
      <c r="M31" s="10">
        <f t="shared" si="9"/>
        <v>20000</v>
      </c>
      <c r="N31" s="10">
        <f t="shared" si="9"/>
        <v>20000</v>
      </c>
      <c r="O31" s="10">
        <f t="shared" si="9"/>
        <v>20000</v>
      </c>
      <c r="P31" s="10">
        <f t="shared" si="9"/>
        <v>20000</v>
      </c>
      <c r="Q31" s="10">
        <f t="shared" si="9"/>
        <v>20000</v>
      </c>
      <c r="R31" s="10">
        <f t="shared" si="9"/>
        <v>20000</v>
      </c>
      <c r="S31" s="10">
        <f t="shared" si="9"/>
        <v>20000</v>
      </c>
      <c r="T31" s="10">
        <f t="shared" si="9"/>
        <v>20000</v>
      </c>
      <c r="U31" s="10">
        <f t="shared" si="9"/>
        <v>20000</v>
      </c>
      <c r="V31" s="10">
        <f t="shared" si="9"/>
        <v>20000</v>
      </c>
      <c r="W31" s="10">
        <f t="shared" si="9"/>
        <v>20000</v>
      </c>
      <c r="X31" s="10">
        <f t="shared" si="9"/>
        <v>20000</v>
      </c>
      <c r="Y31" s="10">
        <f t="shared" si="9"/>
        <v>20000</v>
      </c>
      <c r="Z31" s="11">
        <f t="shared" si="9"/>
        <v>20000</v>
      </c>
    </row>
    <row r="32" spans="1:26" x14ac:dyDescent="0.25">
      <c r="A32" s="44" t="s">
        <v>45</v>
      </c>
      <c r="B32" s="92"/>
      <c r="C32" s="9">
        <f>250*$B$7</f>
        <v>500</v>
      </c>
      <c r="D32" s="10">
        <f t="shared" ref="D32:Z32" si="10">250*$B$7</f>
        <v>500</v>
      </c>
      <c r="E32" s="10">
        <f t="shared" si="10"/>
        <v>500</v>
      </c>
      <c r="F32" s="10">
        <f t="shared" si="10"/>
        <v>500</v>
      </c>
      <c r="G32" s="10">
        <f t="shared" si="10"/>
        <v>500</v>
      </c>
      <c r="H32" s="10">
        <f t="shared" si="10"/>
        <v>500</v>
      </c>
      <c r="I32" s="10">
        <f t="shared" si="10"/>
        <v>500</v>
      </c>
      <c r="J32" s="10">
        <f t="shared" si="10"/>
        <v>500</v>
      </c>
      <c r="K32" s="10">
        <f t="shared" si="10"/>
        <v>500</v>
      </c>
      <c r="L32" s="10">
        <f t="shared" si="10"/>
        <v>500</v>
      </c>
      <c r="M32" s="10">
        <f t="shared" si="10"/>
        <v>500</v>
      </c>
      <c r="N32" s="10">
        <f t="shared" si="10"/>
        <v>500</v>
      </c>
      <c r="O32" s="10">
        <f t="shared" si="10"/>
        <v>500</v>
      </c>
      <c r="P32" s="10">
        <f t="shared" si="10"/>
        <v>500</v>
      </c>
      <c r="Q32" s="10">
        <f t="shared" si="10"/>
        <v>500</v>
      </c>
      <c r="R32" s="10">
        <f t="shared" si="10"/>
        <v>500</v>
      </c>
      <c r="S32" s="10">
        <f t="shared" si="10"/>
        <v>500</v>
      </c>
      <c r="T32" s="10">
        <f t="shared" si="10"/>
        <v>500</v>
      </c>
      <c r="U32" s="10">
        <f t="shared" si="10"/>
        <v>500</v>
      </c>
      <c r="V32" s="10">
        <f t="shared" si="10"/>
        <v>500</v>
      </c>
      <c r="W32" s="10">
        <f t="shared" si="10"/>
        <v>500</v>
      </c>
      <c r="X32" s="10">
        <f t="shared" si="10"/>
        <v>500</v>
      </c>
      <c r="Y32" s="10">
        <f t="shared" si="10"/>
        <v>500</v>
      </c>
      <c r="Z32" s="11">
        <f t="shared" si="10"/>
        <v>500</v>
      </c>
    </row>
    <row r="33" spans="1:26" x14ac:dyDescent="0.25">
      <c r="A33" s="44" t="s">
        <v>49</v>
      </c>
      <c r="B33" s="92"/>
      <c r="C33" s="9">
        <f>$B$7*500</f>
        <v>1000</v>
      </c>
      <c r="D33" s="10">
        <f t="shared" ref="D33:Z33" si="11">$B$7*500</f>
        <v>1000</v>
      </c>
      <c r="E33" s="10">
        <f t="shared" si="11"/>
        <v>1000</v>
      </c>
      <c r="F33" s="10">
        <f t="shared" si="11"/>
        <v>1000</v>
      </c>
      <c r="G33" s="10">
        <f t="shared" si="11"/>
        <v>1000</v>
      </c>
      <c r="H33" s="10">
        <f t="shared" si="11"/>
        <v>1000</v>
      </c>
      <c r="I33" s="10">
        <f t="shared" si="11"/>
        <v>1000</v>
      </c>
      <c r="J33" s="10">
        <f t="shared" si="11"/>
        <v>1000</v>
      </c>
      <c r="K33" s="10">
        <f t="shared" si="11"/>
        <v>1000</v>
      </c>
      <c r="L33" s="10">
        <f t="shared" si="11"/>
        <v>1000</v>
      </c>
      <c r="M33" s="10">
        <f t="shared" si="11"/>
        <v>1000</v>
      </c>
      <c r="N33" s="10">
        <f t="shared" si="11"/>
        <v>1000</v>
      </c>
      <c r="O33" s="10">
        <f t="shared" si="11"/>
        <v>1000</v>
      </c>
      <c r="P33" s="10">
        <f t="shared" si="11"/>
        <v>1000</v>
      </c>
      <c r="Q33" s="10">
        <f t="shared" si="11"/>
        <v>1000</v>
      </c>
      <c r="R33" s="10">
        <f t="shared" si="11"/>
        <v>1000</v>
      </c>
      <c r="S33" s="10">
        <f t="shared" si="11"/>
        <v>1000</v>
      </c>
      <c r="T33" s="10">
        <f t="shared" si="11"/>
        <v>1000</v>
      </c>
      <c r="U33" s="10">
        <f t="shared" si="11"/>
        <v>1000</v>
      </c>
      <c r="V33" s="10">
        <f t="shared" si="11"/>
        <v>1000</v>
      </c>
      <c r="W33" s="10">
        <f t="shared" si="11"/>
        <v>1000</v>
      </c>
      <c r="X33" s="10">
        <f t="shared" si="11"/>
        <v>1000</v>
      </c>
      <c r="Y33" s="10">
        <f t="shared" si="11"/>
        <v>1000</v>
      </c>
      <c r="Z33" s="11">
        <f t="shared" si="11"/>
        <v>1000</v>
      </c>
    </row>
    <row r="34" spans="1:26" x14ac:dyDescent="0.25">
      <c r="A34" s="44" t="s">
        <v>46</v>
      </c>
      <c r="B34" s="92"/>
      <c r="C34" s="9">
        <f>$B$7*2000</f>
        <v>4000</v>
      </c>
      <c r="D34" s="10">
        <f t="shared" ref="D34:Z34" si="12">$B$7*2000</f>
        <v>4000</v>
      </c>
      <c r="E34" s="10">
        <f t="shared" si="12"/>
        <v>4000</v>
      </c>
      <c r="F34" s="10">
        <f t="shared" si="12"/>
        <v>4000</v>
      </c>
      <c r="G34" s="10">
        <f t="shared" si="12"/>
        <v>4000</v>
      </c>
      <c r="H34" s="10">
        <f t="shared" si="12"/>
        <v>4000</v>
      </c>
      <c r="I34" s="10">
        <f t="shared" si="12"/>
        <v>4000</v>
      </c>
      <c r="J34" s="10">
        <f t="shared" si="12"/>
        <v>4000</v>
      </c>
      <c r="K34" s="10">
        <f t="shared" si="12"/>
        <v>4000</v>
      </c>
      <c r="L34" s="10">
        <f t="shared" si="12"/>
        <v>4000</v>
      </c>
      <c r="M34" s="10">
        <f t="shared" si="12"/>
        <v>4000</v>
      </c>
      <c r="N34" s="10">
        <f t="shared" si="12"/>
        <v>4000</v>
      </c>
      <c r="O34" s="10">
        <f t="shared" si="12"/>
        <v>4000</v>
      </c>
      <c r="P34" s="10">
        <f t="shared" si="12"/>
        <v>4000</v>
      </c>
      <c r="Q34" s="10">
        <f t="shared" si="12"/>
        <v>4000</v>
      </c>
      <c r="R34" s="10">
        <f t="shared" si="12"/>
        <v>4000</v>
      </c>
      <c r="S34" s="10">
        <f t="shared" si="12"/>
        <v>4000</v>
      </c>
      <c r="T34" s="10">
        <f t="shared" si="12"/>
        <v>4000</v>
      </c>
      <c r="U34" s="10">
        <f t="shared" si="12"/>
        <v>4000</v>
      </c>
      <c r="V34" s="10">
        <f t="shared" si="12"/>
        <v>4000</v>
      </c>
      <c r="W34" s="10">
        <f t="shared" si="12"/>
        <v>4000</v>
      </c>
      <c r="X34" s="10">
        <f t="shared" si="12"/>
        <v>4000</v>
      </c>
      <c r="Y34" s="10">
        <f t="shared" si="12"/>
        <v>4000</v>
      </c>
      <c r="Z34" s="11">
        <f t="shared" si="12"/>
        <v>4000</v>
      </c>
    </row>
    <row r="35" spans="1:26" x14ac:dyDescent="0.25">
      <c r="A35" s="44" t="s">
        <v>51</v>
      </c>
      <c r="B35" s="92"/>
      <c r="C35" s="9">
        <f>$B$7*500</f>
        <v>1000</v>
      </c>
      <c r="D35" s="10">
        <f t="shared" ref="D35:Z35" si="13">$B$7*500</f>
        <v>1000</v>
      </c>
      <c r="E35" s="10">
        <f t="shared" si="13"/>
        <v>1000</v>
      </c>
      <c r="F35" s="10">
        <f t="shared" si="13"/>
        <v>1000</v>
      </c>
      <c r="G35" s="10">
        <f t="shared" si="13"/>
        <v>1000</v>
      </c>
      <c r="H35" s="10">
        <f t="shared" si="13"/>
        <v>1000</v>
      </c>
      <c r="I35" s="10">
        <f t="shared" si="13"/>
        <v>1000</v>
      </c>
      <c r="J35" s="10">
        <f t="shared" si="13"/>
        <v>1000</v>
      </c>
      <c r="K35" s="10">
        <f t="shared" si="13"/>
        <v>1000</v>
      </c>
      <c r="L35" s="10">
        <f t="shared" si="13"/>
        <v>1000</v>
      </c>
      <c r="M35" s="10">
        <f t="shared" si="13"/>
        <v>1000</v>
      </c>
      <c r="N35" s="10">
        <f t="shared" si="13"/>
        <v>1000</v>
      </c>
      <c r="O35" s="10">
        <f t="shared" si="13"/>
        <v>1000</v>
      </c>
      <c r="P35" s="10">
        <f t="shared" si="13"/>
        <v>1000</v>
      </c>
      <c r="Q35" s="10">
        <f t="shared" si="13"/>
        <v>1000</v>
      </c>
      <c r="R35" s="10">
        <f t="shared" si="13"/>
        <v>1000</v>
      </c>
      <c r="S35" s="10">
        <f t="shared" si="13"/>
        <v>1000</v>
      </c>
      <c r="T35" s="10">
        <f t="shared" si="13"/>
        <v>1000</v>
      </c>
      <c r="U35" s="10">
        <f t="shared" si="13"/>
        <v>1000</v>
      </c>
      <c r="V35" s="10">
        <f t="shared" si="13"/>
        <v>1000</v>
      </c>
      <c r="W35" s="10">
        <f t="shared" si="13"/>
        <v>1000</v>
      </c>
      <c r="X35" s="10">
        <f t="shared" si="13"/>
        <v>1000</v>
      </c>
      <c r="Y35" s="10">
        <f t="shared" si="13"/>
        <v>1000</v>
      </c>
      <c r="Z35" s="11">
        <f t="shared" si="13"/>
        <v>1000</v>
      </c>
    </row>
    <row r="36" spans="1:26" ht="30.75" thickBot="1" x14ac:dyDescent="0.3">
      <c r="A36" s="56" t="s">
        <v>108</v>
      </c>
      <c r="B36" s="93"/>
      <c r="C36" s="12">
        <f t="shared" ref="C36:Z36" si="14">C13*4*4.2%</f>
        <v>13440</v>
      </c>
      <c r="D36" s="13">
        <f t="shared" si="14"/>
        <v>18900</v>
      </c>
      <c r="E36" s="13">
        <f t="shared" si="14"/>
        <v>26775</v>
      </c>
      <c r="F36" s="13">
        <f t="shared" si="14"/>
        <v>36303.75</v>
      </c>
      <c r="G36" s="13">
        <f t="shared" si="14"/>
        <v>49348.6875</v>
      </c>
      <c r="H36" s="13">
        <f t="shared" si="14"/>
        <v>59218.425000000003</v>
      </c>
      <c r="I36" s="13">
        <f t="shared" si="14"/>
        <v>66616.83</v>
      </c>
      <c r="J36" s="13">
        <f t="shared" si="14"/>
        <v>73278.513000000006</v>
      </c>
      <c r="K36" s="13">
        <f t="shared" si="14"/>
        <v>77916.969899999996</v>
      </c>
      <c r="L36" s="13">
        <f t="shared" si="14"/>
        <v>82348.810582500009</v>
      </c>
      <c r="M36" s="13">
        <f t="shared" si="14"/>
        <v>87042.442713187513</v>
      </c>
      <c r="N36" s="13">
        <f t="shared" si="14"/>
        <v>91394.564848846887</v>
      </c>
      <c r="O36" s="13">
        <f t="shared" si="14"/>
        <v>95964.293091289219</v>
      </c>
      <c r="P36" s="13">
        <f t="shared" si="14"/>
        <v>100762.50774585368</v>
      </c>
      <c r="Q36" s="13">
        <f t="shared" si="14"/>
        <v>105800.63313314637</v>
      </c>
      <c r="R36" s="13">
        <f t="shared" si="14"/>
        <v>111090.66478980369</v>
      </c>
      <c r="S36" s="13">
        <f t="shared" si="14"/>
        <v>116645.19802929387</v>
      </c>
      <c r="T36" s="13">
        <f t="shared" si="14"/>
        <v>122477.45793075857</v>
      </c>
      <c r="U36" s="13">
        <f t="shared" si="14"/>
        <v>128601.33082729649</v>
      </c>
      <c r="V36" s="13">
        <f t="shared" si="14"/>
        <v>134299.28158884242</v>
      </c>
      <c r="W36" s="13">
        <f t="shared" si="14"/>
        <v>140260.16641507109</v>
      </c>
      <c r="X36" s="13">
        <f t="shared" si="14"/>
        <v>146496.4731050148</v>
      </c>
      <c r="Y36" s="13">
        <f t="shared" si="14"/>
        <v>153021.2940805314</v>
      </c>
      <c r="Z36" s="14">
        <f t="shared" si="14"/>
        <v>159642.35533440023</v>
      </c>
    </row>
    <row r="37" spans="1:26" x14ac:dyDescent="0.25">
      <c r="A37" s="54" t="s">
        <v>97</v>
      </c>
      <c r="B37" s="5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7"/>
    </row>
    <row r="38" spans="1:26" ht="30" x14ac:dyDescent="0.25">
      <c r="A38" s="55" t="s">
        <v>98</v>
      </c>
      <c r="B38" s="114" t="s">
        <v>101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5"/>
    </row>
    <row r="39" spans="1:26" ht="30" x14ac:dyDescent="0.25">
      <c r="A39" s="55" t="s">
        <v>99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5"/>
    </row>
    <row r="40" spans="1:26" ht="30.75" thickBot="1" x14ac:dyDescent="0.3">
      <c r="A40" s="56" t="s">
        <v>100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7"/>
    </row>
  </sheetData>
  <mergeCells count="61">
    <mergeCell ref="B38:Z40"/>
    <mergeCell ref="B9:B10"/>
    <mergeCell ref="E2:G2"/>
    <mergeCell ref="Q2:S2"/>
    <mergeCell ref="A8:A10"/>
    <mergeCell ref="H5:H6"/>
    <mergeCell ref="C8:N8"/>
    <mergeCell ref="O8:Z8"/>
    <mergeCell ref="C9:C10"/>
    <mergeCell ref="D9:D10"/>
    <mergeCell ref="E9:E10"/>
    <mergeCell ref="F9:F10"/>
    <mergeCell ref="G9:G10"/>
    <mergeCell ref="H9:H10"/>
    <mergeCell ref="I9:I10"/>
    <mergeCell ref="J9:J10"/>
    <mergeCell ref="W13:W14"/>
    <mergeCell ref="Y13:Y14"/>
    <mergeCell ref="X9:X10"/>
    <mergeCell ref="Y9:Y10"/>
    <mergeCell ref="P9:P10"/>
    <mergeCell ref="Q9:Q10"/>
    <mergeCell ref="R9:R10"/>
    <mergeCell ref="S9:S10"/>
    <mergeCell ref="T9:T10"/>
    <mergeCell ref="W9:W10"/>
    <mergeCell ref="P13:P14"/>
    <mergeCell ref="Q13:Q14"/>
    <mergeCell ref="R13:R14"/>
    <mergeCell ref="S13:S14"/>
    <mergeCell ref="T13:T14"/>
    <mergeCell ref="C7:F7"/>
    <mergeCell ref="Z9:Z10"/>
    <mergeCell ref="A13:A14"/>
    <mergeCell ref="B13:B14"/>
    <mergeCell ref="C13:C14"/>
    <mergeCell ref="D13:D14"/>
    <mergeCell ref="E13:E14"/>
    <mergeCell ref="N13:N14"/>
    <mergeCell ref="O13:O14"/>
    <mergeCell ref="F13:F14"/>
    <mergeCell ref="G13:G14"/>
    <mergeCell ref="H13:H14"/>
    <mergeCell ref="I13:I14"/>
    <mergeCell ref="J13:J14"/>
    <mergeCell ref="Z13:Z14"/>
    <mergeCell ref="X13:X14"/>
    <mergeCell ref="T2:U2"/>
    <mergeCell ref="H2:I2"/>
    <mergeCell ref="U13:U14"/>
    <mergeCell ref="V13:V14"/>
    <mergeCell ref="K13:K14"/>
    <mergeCell ref="L13:L14"/>
    <mergeCell ref="M13:M14"/>
    <mergeCell ref="U9:U10"/>
    <mergeCell ref="V9:V10"/>
    <mergeCell ref="K9:K10"/>
    <mergeCell ref="L9:L10"/>
    <mergeCell ref="M9:M10"/>
    <mergeCell ref="N9:N10"/>
    <mergeCell ref="O9:O10"/>
  </mergeCells>
  <pageMargins left="0.7" right="0.7" top="0.75" bottom="0.75" header="0.3" footer="0.3"/>
  <pageSetup paperSize="9" orientation="portrait" verticalDpi="0" r:id="rId1"/>
  <ignoredErrors>
    <ignoredError sqref="D31 C34 Z34 D34:Y34 F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opLeftCell="T1" workbookViewId="0">
      <selection activeCell="AE10" sqref="AE10:AG12"/>
    </sheetView>
  </sheetViews>
  <sheetFormatPr defaultRowHeight="15" x14ac:dyDescent="0.25"/>
  <cols>
    <col min="1" max="1" width="5.7109375" style="1" customWidth="1"/>
    <col min="2" max="2" width="37.7109375" customWidth="1"/>
    <col min="3" max="5" width="10.5703125" customWidth="1"/>
    <col min="6" max="6" width="10.85546875" customWidth="1"/>
    <col min="7" max="9" width="10.5703125" customWidth="1"/>
    <col min="10" max="10" width="12" customWidth="1"/>
    <col min="11" max="11" width="10.5703125" customWidth="1"/>
    <col min="12" max="13" width="10.5703125" bestFit="1" customWidth="1"/>
    <col min="14" max="14" width="11.5703125" bestFit="1" customWidth="1"/>
    <col min="15" max="17" width="10.5703125" bestFit="1" customWidth="1"/>
    <col min="18" max="18" width="11.5703125" bestFit="1" customWidth="1"/>
    <col min="19" max="21" width="10.5703125" bestFit="1" customWidth="1"/>
    <col min="22" max="22" width="11.5703125" bestFit="1" customWidth="1"/>
    <col min="23" max="25" width="10.5703125" bestFit="1" customWidth="1"/>
    <col min="26" max="26" width="12" customWidth="1"/>
    <col min="27" max="28" width="10.5703125" bestFit="1" customWidth="1"/>
    <col min="29" max="33" width="11.5703125" bestFit="1" customWidth="1"/>
    <col min="34" max="34" width="12.5703125" bestFit="1" customWidth="1"/>
    <col min="35" max="35" width="14.42578125" customWidth="1"/>
  </cols>
  <sheetData>
    <row r="1" spans="1:35" ht="15.75" customHeight="1" thickBot="1" x14ac:dyDescent="0.3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8.75" thickTop="1" thickBot="1" x14ac:dyDescent="0.3">
      <c r="A2" s="15"/>
      <c r="B2" s="21"/>
      <c r="C2" s="126" t="s">
        <v>74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8" t="s">
        <v>77</v>
      </c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6"/>
    </row>
    <row r="3" spans="1:35" ht="52.5" customHeight="1" thickBot="1" x14ac:dyDescent="0.3">
      <c r="A3" s="17" t="s">
        <v>52</v>
      </c>
      <c r="B3" s="18" t="s">
        <v>64</v>
      </c>
      <c r="C3" s="18">
        <v>1</v>
      </c>
      <c r="D3" s="18">
        <v>2</v>
      </c>
      <c r="E3" s="22">
        <v>3</v>
      </c>
      <c r="F3" s="23" t="s">
        <v>68</v>
      </c>
      <c r="G3" s="20">
        <v>4</v>
      </c>
      <c r="H3" s="18">
        <v>5</v>
      </c>
      <c r="I3" s="22">
        <v>6</v>
      </c>
      <c r="J3" s="23" t="s">
        <v>69</v>
      </c>
      <c r="K3" s="20">
        <v>7</v>
      </c>
      <c r="L3" s="18">
        <v>8</v>
      </c>
      <c r="M3" s="22">
        <v>9</v>
      </c>
      <c r="N3" s="23" t="s">
        <v>70</v>
      </c>
      <c r="O3" s="20">
        <v>10</v>
      </c>
      <c r="P3" s="18">
        <v>11</v>
      </c>
      <c r="Q3" s="22">
        <v>12</v>
      </c>
      <c r="R3" s="23" t="s">
        <v>71</v>
      </c>
      <c r="S3" s="20">
        <v>13</v>
      </c>
      <c r="T3" s="18">
        <v>14</v>
      </c>
      <c r="U3" s="22">
        <v>15</v>
      </c>
      <c r="V3" s="23" t="s">
        <v>72</v>
      </c>
      <c r="W3" s="20">
        <v>16</v>
      </c>
      <c r="X3" s="18">
        <v>17</v>
      </c>
      <c r="Y3" s="22">
        <v>18</v>
      </c>
      <c r="Z3" s="23" t="s">
        <v>75</v>
      </c>
      <c r="AA3" s="20">
        <v>19</v>
      </c>
      <c r="AB3" s="18">
        <v>20</v>
      </c>
      <c r="AC3" s="22">
        <v>21</v>
      </c>
      <c r="AD3" s="23" t="s">
        <v>76</v>
      </c>
      <c r="AE3" s="20">
        <v>22</v>
      </c>
      <c r="AF3" s="18">
        <v>23</v>
      </c>
      <c r="AG3" s="22">
        <v>24</v>
      </c>
      <c r="AH3" s="23" t="s">
        <v>77</v>
      </c>
      <c r="AI3" s="26" t="s">
        <v>73</v>
      </c>
    </row>
    <row r="4" spans="1:35" ht="27" customHeight="1" x14ac:dyDescent="0.25">
      <c r="A4" s="29" t="s">
        <v>53</v>
      </c>
      <c r="B4" s="30" t="s">
        <v>103</v>
      </c>
      <c r="C4" s="27">
        <f>'Исходные данные'!C13</f>
        <v>80000</v>
      </c>
      <c r="D4" s="27">
        <f>'Исходные данные'!D13</f>
        <v>112500</v>
      </c>
      <c r="E4" s="27">
        <f>'Исходные данные'!E13</f>
        <v>159375</v>
      </c>
      <c r="F4" s="24">
        <f>SUM(C4:E4)</f>
        <v>351875</v>
      </c>
      <c r="G4" s="27">
        <f>'Исходные данные'!F13</f>
        <v>216093.75</v>
      </c>
      <c r="H4" s="27">
        <f>'Исходные данные'!G13</f>
        <v>293742.1875</v>
      </c>
      <c r="I4" s="27">
        <f>'Исходные данные'!H13</f>
        <v>352490.625</v>
      </c>
      <c r="J4" s="24">
        <f>SUM(F4:I4)</f>
        <v>1214201.5625</v>
      </c>
      <c r="K4" s="27">
        <f>'Исходные данные'!I13</f>
        <v>396528.75</v>
      </c>
      <c r="L4" s="27">
        <f>'Исходные данные'!J13</f>
        <v>436181.625</v>
      </c>
      <c r="M4" s="27">
        <f>'Исходные данные'!K13</f>
        <v>463791.48749999999</v>
      </c>
      <c r="N4" s="24">
        <f>SUM(J4:M4)</f>
        <v>2510703.4249999998</v>
      </c>
      <c r="O4" s="27">
        <f>'Исходные данные'!L13</f>
        <v>490171.49156250001</v>
      </c>
      <c r="P4" s="27">
        <f>'Исходные данные'!M13</f>
        <v>518109.77805468754</v>
      </c>
      <c r="Q4" s="27">
        <f>'Исходные данные'!N13</f>
        <v>544015.2669574219</v>
      </c>
      <c r="R4" s="24">
        <f>SUM(N4:Q4)</f>
        <v>4062999.9615746094</v>
      </c>
      <c r="S4" s="27">
        <f>'Исходные данные'!O13</f>
        <v>571216.03030529292</v>
      </c>
      <c r="T4" s="27">
        <f>'Исходные данные'!P13</f>
        <v>599776.83182055759</v>
      </c>
      <c r="U4" s="27">
        <f>'Исходные данные'!Q13</f>
        <v>629765.67341158551</v>
      </c>
      <c r="V4" s="24">
        <f>SUM(S4:U4)</f>
        <v>1800758.5355374361</v>
      </c>
      <c r="W4" s="27">
        <f>'Исходные данные'!R13</f>
        <v>661253.95708216482</v>
      </c>
      <c r="X4" s="27">
        <f>'Исходные данные'!S13</f>
        <v>694316.654936273</v>
      </c>
      <c r="Y4" s="27">
        <f>'Исходные данные'!T13</f>
        <v>729032.48768308666</v>
      </c>
      <c r="Z4" s="24">
        <f>SUM(V4:Y4)</f>
        <v>3885361.6352389609</v>
      </c>
      <c r="AA4" s="27">
        <f>'Исходные данные'!U13</f>
        <v>765484.11206724099</v>
      </c>
      <c r="AB4" s="27">
        <f>'Исходные данные'!V13</f>
        <v>799400.48564787151</v>
      </c>
      <c r="AC4" s="27">
        <f>'Исходные данные'!W13</f>
        <v>834881.94294685172</v>
      </c>
      <c r="AD4" s="24">
        <f>SUM(Z4:AC4)</f>
        <v>6285128.175900925</v>
      </c>
      <c r="AE4" s="27">
        <f>'Исходные данные'!X13</f>
        <v>872002.81610127853</v>
      </c>
      <c r="AF4" s="27">
        <f>'Исходные данные'!Y13</f>
        <v>910841.03619363916</v>
      </c>
      <c r="AG4" s="27">
        <f>'Исходные данные'!Z13</f>
        <v>950252.11508571566</v>
      </c>
      <c r="AH4" s="24">
        <f>SUM(AD4:AG4)</f>
        <v>9018224.1432815585</v>
      </c>
      <c r="AI4" s="38">
        <f>R4+AH4</f>
        <v>13081224.104856167</v>
      </c>
    </row>
    <row r="5" spans="1:35" ht="27" customHeight="1" x14ac:dyDescent="0.25">
      <c r="A5" s="31" t="s">
        <v>54</v>
      </c>
      <c r="B5" s="32" t="s">
        <v>65</v>
      </c>
      <c r="C5" s="27">
        <f>C4*0.06</f>
        <v>4800</v>
      </c>
      <c r="D5" s="27">
        <f t="shared" ref="D5:H5" si="0">D4*0.06</f>
        <v>6750</v>
      </c>
      <c r="E5" s="27">
        <f t="shared" si="0"/>
        <v>9562.5</v>
      </c>
      <c r="F5" s="24">
        <f t="shared" si="0"/>
        <v>21112.5</v>
      </c>
      <c r="G5" s="27">
        <f t="shared" si="0"/>
        <v>12965.625</v>
      </c>
      <c r="H5" s="27">
        <f t="shared" si="0"/>
        <v>17624.53125</v>
      </c>
      <c r="I5" s="27">
        <f t="shared" ref="I5" si="1">I4*0.06</f>
        <v>21149.4375</v>
      </c>
      <c r="J5" s="24">
        <f t="shared" ref="J5" si="2">J4*0.06</f>
        <v>72852.09375</v>
      </c>
      <c r="K5" s="27">
        <f t="shared" ref="K5" si="3">K4*0.06</f>
        <v>23791.724999999999</v>
      </c>
      <c r="L5" s="27">
        <f t="shared" ref="L5:M5" si="4">L4*0.06</f>
        <v>26170.897499999999</v>
      </c>
      <c r="M5" s="27">
        <f t="shared" si="4"/>
        <v>27827.489249999999</v>
      </c>
      <c r="N5" s="24">
        <f t="shared" ref="N5" si="5">N4*0.06</f>
        <v>150642.20549999998</v>
      </c>
      <c r="O5" s="27">
        <f t="shared" ref="O5" si="6">O4*0.06</f>
        <v>29410.289493749999</v>
      </c>
      <c r="P5" s="27">
        <f t="shared" ref="P5" si="7">P4*0.06</f>
        <v>31086.58668328125</v>
      </c>
      <c r="Q5" s="27">
        <f t="shared" ref="Q5:R5" si="8">Q4*0.06</f>
        <v>32640.916017445314</v>
      </c>
      <c r="R5" s="24">
        <f t="shared" si="8"/>
        <v>243779.99769447657</v>
      </c>
      <c r="S5" s="27">
        <f t="shared" ref="S5" si="9">S4*0.06</f>
        <v>34272.961818317577</v>
      </c>
      <c r="T5" s="27">
        <f t="shared" ref="T5" si="10">T4*0.06</f>
        <v>35986.609909233455</v>
      </c>
      <c r="U5" s="27">
        <f t="shared" ref="U5" si="11">U4*0.06</f>
        <v>37785.940404695131</v>
      </c>
      <c r="V5" s="24">
        <f t="shared" ref="V5:W5" si="12">V4*0.06</f>
        <v>108045.51213224616</v>
      </c>
      <c r="W5" s="27">
        <f t="shared" si="12"/>
        <v>39675.237424929888</v>
      </c>
      <c r="X5" s="27">
        <f t="shared" ref="X5" si="13">X4*0.06</f>
        <v>41658.999296176378</v>
      </c>
      <c r="Y5" s="27">
        <f t="shared" ref="Y5" si="14">Y4*0.06</f>
        <v>43741.949260985195</v>
      </c>
      <c r="Z5" s="24">
        <f t="shared" ref="Z5" si="15">Z4*0.06</f>
        <v>233121.69811433763</v>
      </c>
      <c r="AA5" s="27">
        <f t="shared" ref="AA5:AB5" si="16">AA4*0.06</f>
        <v>45929.046724034459</v>
      </c>
      <c r="AB5" s="27">
        <f t="shared" si="16"/>
        <v>47964.029138872291</v>
      </c>
      <c r="AC5" s="27">
        <f t="shared" ref="AC5" si="17">AC4*0.06</f>
        <v>50092.916576811098</v>
      </c>
      <c r="AD5" s="24">
        <f t="shared" ref="AD5" si="18">AD4*0.06</f>
        <v>377107.6905540555</v>
      </c>
      <c r="AE5" s="27">
        <f t="shared" ref="AE5" si="19">AE4*0.06</f>
        <v>52320.168966076708</v>
      </c>
      <c r="AF5" s="27">
        <f t="shared" ref="AF5:AG5" si="20">AF4*0.06</f>
        <v>54650.462171618346</v>
      </c>
      <c r="AG5" s="27">
        <f t="shared" si="20"/>
        <v>57015.126905142941</v>
      </c>
      <c r="AH5" s="24">
        <f t="shared" ref="AH5" si="21">AH4*0.06</f>
        <v>541093.44859689346</v>
      </c>
      <c r="AI5" s="39">
        <f t="shared" ref="AI5" si="22">AI4*0.06</f>
        <v>784873.44629136997</v>
      </c>
    </row>
    <row r="6" spans="1:35" ht="27" customHeight="1" x14ac:dyDescent="0.25">
      <c r="A6" s="33" t="s">
        <v>55</v>
      </c>
      <c r="B6" s="34" t="s">
        <v>66</v>
      </c>
      <c r="C6" s="27">
        <f>C5</f>
        <v>4800</v>
      </c>
      <c r="D6" s="27">
        <f>C6+D5</f>
        <v>11550</v>
      </c>
      <c r="E6" s="27">
        <f>D6+E5</f>
        <v>21112.5</v>
      </c>
      <c r="F6" s="24">
        <f>F5</f>
        <v>21112.5</v>
      </c>
      <c r="G6" s="27">
        <f>E6+G5</f>
        <v>34078.125</v>
      </c>
      <c r="H6" s="27">
        <f>G6+H5</f>
        <v>51702.65625</v>
      </c>
      <c r="I6" s="27">
        <f>H6+I5</f>
        <v>72852.09375</v>
      </c>
      <c r="J6" s="24">
        <f>J5</f>
        <v>72852.09375</v>
      </c>
      <c r="K6" s="27">
        <f>I6+K5</f>
        <v>96643.818750000006</v>
      </c>
      <c r="L6" s="27">
        <f>K6+L5</f>
        <v>122814.71625</v>
      </c>
      <c r="M6" s="27">
        <f>L6+M5</f>
        <v>150642.20549999998</v>
      </c>
      <c r="N6" s="24">
        <f>N5</f>
        <v>150642.20549999998</v>
      </c>
      <c r="O6" s="27">
        <f>M6+O5</f>
        <v>180052.49499374998</v>
      </c>
      <c r="P6" s="27">
        <f>O6+P5</f>
        <v>211139.08167703124</v>
      </c>
      <c r="Q6" s="27">
        <f>P6+Q5</f>
        <v>243779.99769447657</v>
      </c>
      <c r="R6" s="24">
        <f>R5</f>
        <v>243779.99769447657</v>
      </c>
      <c r="S6" s="27">
        <f>S5</f>
        <v>34272.961818317577</v>
      </c>
      <c r="T6" s="27">
        <f>S6+T5</f>
        <v>70259.571727551025</v>
      </c>
      <c r="U6" s="27">
        <f>T6+U5</f>
        <v>108045.51213224616</v>
      </c>
      <c r="V6" s="24">
        <f>V5</f>
        <v>108045.51213224616</v>
      </c>
      <c r="W6" s="27">
        <f>U6+W5</f>
        <v>147720.74955717605</v>
      </c>
      <c r="X6" s="27">
        <f>W6+X5</f>
        <v>189379.74885335244</v>
      </c>
      <c r="Y6" s="27">
        <f>X6+Y5</f>
        <v>233121.69811433763</v>
      </c>
      <c r="Z6" s="24">
        <f>Z5</f>
        <v>233121.69811433763</v>
      </c>
      <c r="AA6" s="27">
        <f>Y6+AA5</f>
        <v>279050.74483837211</v>
      </c>
      <c r="AB6" s="27">
        <f>AA6+AB5</f>
        <v>327014.77397724439</v>
      </c>
      <c r="AC6" s="27">
        <f>AB6+AC5</f>
        <v>377107.6905540555</v>
      </c>
      <c r="AD6" s="24">
        <f>AD5</f>
        <v>377107.6905540555</v>
      </c>
      <c r="AE6" s="27">
        <f>AC6+AE5</f>
        <v>429427.85952013219</v>
      </c>
      <c r="AF6" s="27">
        <f>AE6+AF5</f>
        <v>484078.32169175055</v>
      </c>
      <c r="AG6" s="27">
        <f>AF6+AG5</f>
        <v>541093.44859689346</v>
      </c>
      <c r="AH6" s="24">
        <f>AH5</f>
        <v>541093.44859689346</v>
      </c>
      <c r="AI6" s="40"/>
    </row>
    <row r="7" spans="1:35" ht="27" customHeight="1" x14ac:dyDescent="0.25">
      <c r="A7" s="31" t="s">
        <v>56</v>
      </c>
      <c r="B7" s="32" t="s">
        <v>67</v>
      </c>
      <c r="C7" s="27">
        <f>C6*50%</f>
        <v>2400</v>
      </c>
      <c r="D7" s="27">
        <f t="shared" ref="D7:E7" si="23">D6*50%</f>
        <v>5775</v>
      </c>
      <c r="E7" s="27">
        <f t="shared" si="23"/>
        <v>10556.25</v>
      </c>
      <c r="F7" s="24">
        <f t="shared" ref="F7" si="24">F6*50%</f>
        <v>10556.25</v>
      </c>
      <c r="G7" s="27">
        <f t="shared" ref="G7" si="25">G6*50%</f>
        <v>17039.0625</v>
      </c>
      <c r="H7" s="27">
        <f t="shared" ref="H7" si="26">H6*50%</f>
        <v>25851.328125</v>
      </c>
      <c r="I7" s="27">
        <f t="shared" ref="I7" si="27">I6*50%</f>
        <v>36426.046875</v>
      </c>
      <c r="J7" s="24">
        <f t="shared" ref="J7" si="28">J6*50%</f>
        <v>36426.046875</v>
      </c>
      <c r="K7" s="27">
        <f t="shared" ref="K7" si="29">K6*50%</f>
        <v>48321.909375000003</v>
      </c>
      <c r="L7" s="27">
        <f t="shared" ref="L7" si="30">L6*50%</f>
        <v>61407.358124999999</v>
      </c>
      <c r="M7" s="27">
        <f t="shared" ref="M7" si="31">M6*50%</f>
        <v>75321.102749999991</v>
      </c>
      <c r="N7" s="24">
        <f t="shared" ref="N7" si="32">N6*50%</f>
        <v>75321.102749999991</v>
      </c>
      <c r="O7" s="27">
        <f t="shared" ref="O7" si="33">O6*50%</f>
        <v>90026.247496874988</v>
      </c>
      <c r="P7" s="27">
        <f t="shared" ref="P7" si="34">P6*50%</f>
        <v>105569.54083851562</v>
      </c>
      <c r="Q7" s="27">
        <f t="shared" ref="Q7" si="35">Q6*50%</f>
        <v>121889.99884723828</v>
      </c>
      <c r="R7" s="24">
        <f t="shared" ref="R7:S7" si="36">R6*50%</f>
        <v>121889.99884723828</v>
      </c>
      <c r="S7" s="27">
        <f t="shared" si="36"/>
        <v>17136.480909158789</v>
      </c>
      <c r="T7" s="27">
        <f t="shared" ref="T7" si="37">T6*50%</f>
        <v>35129.785863775513</v>
      </c>
      <c r="U7" s="27">
        <f t="shared" ref="U7" si="38">U6*50%</f>
        <v>54022.756066123082</v>
      </c>
      <c r="V7" s="24">
        <f t="shared" ref="V7" si="39">V6*50%</f>
        <v>54022.756066123082</v>
      </c>
      <c r="W7" s="27">
        <f t="shared" ref="W7" si="40">W6*50%</f>
        <v>73860.374778588026</v>
      </c>
      <c r="X7" s="27">
        <f t="shared" ref="X7" si="41">X6*50%</f>
        <v>94689.874426676222</v>
      </c>
      <c r="Y7" s="27">
        <f t="shared" ref="Y7" si="42">Y6*50%</f>
        <v>116560.84905716882</v>
      </c>
      <c r="Z7" s="24">
        <f t="shared" ref="Z7" si="43">Z6*50%</f>
        <v>116560.84905716882</v>
      </c>
      <c r="AA7" s="27">
        <f t="shared" ref="AA7" si="44">AA6*50%</f>
        <v>139525.37241918605</v>
      </c>
      <c r="AB7" s="27">
        <f t="shared" ref="AB7" si="45">AB6*50%</f>
        <v>163507.38698862219</v>
      </c>
      <c r="AC7" s="27">
        <f t="shared" ref="AC7" si="46">AC6*50%</f>
        <v>188553.84527702775</v>
      </c>
      <c r="AD7" s="24">
        <f t="shared" ref="AD7" si="47">AD6*50%</f>
        <v>188553.84527702775</v>
      </c>
      <c r="AE7" s="27">
        <f t="shared" ref="AE7" si="48">AE6*50%</f>
        <v>214713.92976006609</v>
      </c>
      <c r="AF7" s="27">
        <f t="shared" ref="AF7" si="49">AF6*50%</f>
        <v>242039.16084587527</v>
      </c>
      <c r="AG7" s="27">
        <f t="shared" ref="AG7" si="50">AG6*50%</f>
        <v>270546.72429844673</v>
      </c>
      <c r="AH7" s="24">
        <f t="shared" ref="AH7" si="51">AH6*50%</f>
        <v>270546.72429844673</v>
      </c>
      <c r="AI7" s="40"/>
    </row>
    <row r="8" spans="1:35" ht="27" customHeight="1" x14ac:dyDescent="0.25">
      <c r="A8" s="31" t="s">
        <v>57</v>
      </c>
      <c r="B8" s="34" t="s">
        <v>79</v>
      </c>
      <c r="C8" s="27">
        <f>20*'Исходные данные'!B7</f>
        <v>40</v>
      </c>
      <c r="D8" s="27">
        <f>C8</f>
        <v>40</v>
      </c>
      <c r="E8" s="27">
        <f>D8</f>
        <v>40</v>
      </c>
      <c r="F8" s="24">
        <f>SUM(C8:E8)</f>
        <v>120</v>
      </c>
      <c r="G8" s="27">
        <f>C8</f>
        <v>40</v>
      </c>
      <c r="H8" s="27">
        <f t="shared" ref="H8:I9" si="52">D8</f>
        <v>40</v>
      </c>
      <c r="I8" s="27">
        <f t="shared" si="52"/>
        <v>40</v>
      </c>
      <c r="J8" s="24">
        <f>SUM(F8:I8)</f>
        <v>240</v>
      </c>
      <c r="K8" s="27">
        <f>C8</f>
        <v>40</v>
      </c>
      <c r="L8" s="27">
        <f t="shared" ref="L8:M9" si="53">D8</f>
        <v>40</v>
      </c>
      <c r="M8" s="27">
        <f t="shared" si="53"/>
        <v>40</v>
      </c>
      <c r="N8" s="24">
        <f>SUM(J8:M8)</f>
        <v>360</v>
      </c>
      <c r="O8" s="27">
        <f>C8</f>
        <v>40</v>
      </c>
      <c r="P8" s="27">
        <f t="shared" ref="P8:Q8" si="54">D8</f>
        <v>40</v>
      </c>
      <c r="Q8" s="27">
        <f t="shared" si="54"/>
        <v>40</v>
      </c>
      <c r="R8" s="24">
        <f>SUM(N8:Q8)</f>
        <v>480</v>
      </c>
      <c r="S8" s="27">
        <f>C8</f>
        <v>40</v>
      </c>
      <c r="T8" s="27">
        <f t="shared" ref="T8:U8" si="55">D8</f>
        <v>40</v>
      </c>
      <c r="U8" s="27">
        <f t="shared" si="55"/>
        <v>40</v>
      </c>
      <c r="V8" s="24">
        <f>SUM(S8:U8)</f>
        <v>120</v>
      </c>
      <c r="W8" s="27">
        <f>C8</f>
        <v>40</v>
      </c>
      <c r="X8" s="27">
        <f t="shared" ref="X8:Y8" si="56">D8</f>
        <v>40</v>
      </c>
      <c r="Y8" s="27">
        <f t="shared" si="56"/>
        <v>40</v>
      </c>
      <c r="Z8" s="24">
        <f>SUM(V8:Y8)</f>
        <v>240</v>
      </c>
      <c r="AA8" s="27">
        <f>C8</f>
        <v>40</v>
      </c>
      <c r="AB8" s="27">
        <f t="shared" ref="AB8:AC8" si="57">D8</f>
        <v>40</v>
      </c>
      <c r="AC8" s="27">
        <f t="shared" si="57"/>
        <v>40</v>
      </c>
      <c r="AD8" s="24">
        <f>SUM(Z8:AC8)</f>
        <v>360</v>
      </c>
      <c r="AE8" s="27">
        <f>C8</f>
        <v>40</v>
      </c>
      <c r="AF8" s="27">
        <f t="shared" ref="AF8:AG8" si="58">D8</f>
        <v>40</v>
      </c>
      <c r="AG8" s="27">
        <f t="shared" si="58"/>
        <v>40</v>
      </c>
      <c r="AH8" s="24">
        <f>SUM(AD8:AG8)</f>
        <v>480</v>
      </c>
      <c r="AI8" s="39">
        <f>R8+AH8</f>
        <v>960</v>
      </c>
    </row>
    <row r="9" spans="1:35" ht="27" customHeight="1" x14ac:dyDescent="0.25">
      <c r="A9" s="31" t="s">
        <v>58</v>
      </c>
      <c r="B9" s="32" t="s">
        <v>80</v>
      </c>
      <c r="C9" s="27">
        <f>'Исходные данные'!C28*0.34</f>
        <v>6800.0000000000009</v>
      </c>
      <c r="D9" s="27">
        <f>C9</f>
        <v>6800.0000000000009</v>
      </c>
      <c r="E9" s="27">
        <f>D9</f>
        <v>6800.0000000000009</v>
      </c>
      <c r="F9" s="24">
        <f>SUM(C9:E9)</f>
        <v>20400.000000000004</v>
      </c>
      <c r="G9" s="27">
        <f>C9</f>
        <v>6800.0000000000009</v>
      </c>
      <c r="H9" s="27">
        <f t="shared" si="52"/>
        <v>6800.0000000000009</v>
      </c>
      <c r="I9" s="27">
        <f t="shared" si="52"/>
        <v>6800.0000000000009</v>
      </c>
      <c r="J9" s="24">
        <f>SUM(F9:I9)</f>
        <v>40800.000000000007</v>
      </c>
      <c r="K9" s="27">
        <f>C9</f>
        <v>6800.0000000000009</v>
      </c>
      <c r="L9" s="27">
        <f t="shared" si="53"/>
        <v>6800.0000000000009</v>
      </c>
      <c r="M9" s="27">
        <f t="shared" si="53"/>
        <v>6800.0000000000009</v>
      </c>
      <c r="N9" s="24">
        <f>SUM(J9:M9)</f>
        <v>61200.000000000007</v>
      </c>
      <c r="O9" s="27">
        <f>C9</f>
        <v>6800.0000000000009</v>
      </c>
      <c r="P9" s="27">
        <f t="shared" ref="P9" si="59">D9</f>
        <v>6800.0000000000009</v>
      </c>
      <c r="Q9" s="27">
        <f t="shared" ref="Q9" si="60">E9</f>
        <v>6800.0000000000009</v>
      </c>
      <c r="R9" s="24">
        <f>SUM(N9:Q9)</f>
        <v>81600.000000000015</v>
      </c>
      <c r="S9" s="27">
        <f>C9</f>
        <v>6800.0000000000009</v>
      </c>
      <c r="T9" s="27">
        <f t="shared" ref="T9" si="61">D9</f>
        <v>6800.0000000000009</v>
      </c>
      <c r="U9" s="27">
        <f t="shared" ref="U9" si="62">E9</f>
        <v>6800.0000000000009</v>
      </c>
      <c r="V9" s="24">
        <f>SUM(S9:U9)</f>
        <v>20400.000000000004</v>
      </c>
      <c r="W9" s="27">
        <f>C9</f>
        <v>6800.0000000000009</v>
      </c>
      <c r="X9" s="27">
        <f t="shared" ref="X9" si="63">D9</f>
        <v>6800.0000000000009</v>
      </c>
      <c r="Y9" s="27">
        <f t="shared" ref="Y9" si="64">E9</f>
        <v>6800.0000000000009</v>
      </c>
      <c r="Z9" s="24">
        <f>SUM(V9:Y9)</f>
        <v>40800.000000000007</v>
      </c>
      <c r="AA9" s="27">
        <f>C9</f>
        <v>6800.0000000000009</v>
      </c>
      <c r="AB9" s="27">
        <f t="shared" ref="AB9" si="65">D9</f>
        <v>6800.0000000000009</v>
      </c>
      <c r="AC9" s="27">
        <f t="shared" ref="AC9" si="66">E9</f>
        <v>6800.0000000000009</v>
      </c>
      <c r="AD9" s="24">
        <f>SUM(Z9:AC9)</f>
        <v>61200.000000000007</v>
      </c>
      <c r="AE9" s="27">
        <f>C9</f>
        <v>6800.0000000000009</v>
      </c>
      <c r="AF9" s="27">
        <f t="shared" ref="AF9" si="67">D9</f>
        <v>6800.0000000000009</v>
      </c>
      <c r="AG9" s="27">
        <f t="shared" ref="AG9" si="68">E9</f>
        <v>6800.0000000000009</v>
      </c>
      <c r="AH9" s="24">
        <f>SUM(AD9:AG9)</f>
        <v>81600.000000000015</v>
      </c>
      <c r="AI9" s="39">
        <f>R9+AH9</f>
        <v>163200.00000000003</v>
      </c>
    </row>
    <row r="10" spans="1:35" ht="60" customHeight="1" x14ac:dyDescent="0.25">
      <c r="A10" s="31" t="s">
        <v>59</v>
      </c>
      <c r="B10" s="35" t="s">
        <v>107</v>
      </c>
      <c r="C10" s="27"/>
      <c r="D10" s="27"/>
      <c r="E10" s="27"/>
      <c r="F10" s="24">
        <f>F8+F9</f>
        <v>20520.000000000004</v>
      </c>
      <c r="G10" s="27"/>
      <c r="H10" s="27"/>
      <c r="I10" s="27"/>
      <c r="J10" s="24">
        <f>J8+J9</f>
        <v>41040.000000000007</v>
      </c>
      <c r="K10" s="27"/>
      <c r="L10" s="27"/>
      <c r="M10" s="27"/>
      <c r="N10" s="24">
        <f>N8+N9</f>
        <v>61560.000000000007</v>
      </c>
      <c r="O10" s="27"/>
      <c r="P10" s="27"/>
      <c r="Q10" s="27"/>
      <c r="R10" s="24">
        <f>R8+R9</f>
        <v>82080.000000000015</v>
      </c>
      <c r="S10" s="27"/>
      <c r="T10" s="27"/>
      <c r="U10" s="27"/>
      <c r="V10" s="24">
        <f>V8+V9</f>
        <v>20520.000000000004</v>
      </c>
      <c r="W10" s="27"/>
      <c r="X10" s="27"/>
      <c r="Y10" s="27"/>
      <c r="Z10" s="24">
        <f>Z8+Z9</f>
        <v>41040.000000000007</v>
      </c>
      <c r="AA10" s="27"/>
      <c r="AB10" s="27"/>
      <c r="AC10" s="27"/>
      <c r="AD10" s="24">
        <f>AD8+AD9</f>
        <v>61560.000000000007</v>
      </c>
      <c r="AE10" s="27"/>
      <c r="AF10" s="27"/>
      <c r="AG10" s="27"/>
      <c r="AH10" s="24">
        <f>AH8+AH9</f>
        <v>82080.000000000015</v>
      </c>
      <c r="AI10" s="39"/>
    </row>
    <row r="11" spans="1:35" ht="27" customHeight="1" x14ac:dyDescent="0.25">
      <c r="A11" s="31" t="s">
        <v>60</v>
      </c>
      <c r="B11" s="32" t="s">
        <v>81</v>
      </c>
      <c r="C11" s="27"/>
      <c r="D11" s="27"/>
      <c r="E11" s="27"/>
      <c r="F11" s="24">
        <f>MIN(F7,F10)</f>
        <v>10556.25</v>
      </c>
      <c r="G11" s="27"/>
      <c r="H11" s="27"/>
      <c r="I11" s="27"/>
      <c r="J11" s="24">
        <f>MIN(J7,J10)</f>
        <v>36426.046875</v>
      </c>
      <c r="K11" s="27"/>
      <c r="L11" s="27"/>
      <c r="M11" s="27"/>
      <c r="N11" s="24">
        <f>MIN(N7,N10)</f>
        <v>61560.000000000007</v>
      </c>
      <c r="O11" s="27"/>
      <c r="P11" s="27"/>
      <c r="Q11" s="27"/>
      <c r="R11" s="24">
        <f>MIN(R7,R10)</f>
        <v>82080.000000000015</v>
      </c>
      <c r="S11" s="27"/>
      <c r="T11" s="27"/>
      <c r="U11" s="27"/>
      <c r="V11" s="24">
        <f>MIN(V7,V10)</f>
        <v>20520.000000000004</v>
      </c>
      <c r="W11" s="27"/>
      <c r="X11" s="27"/>
      <c r="Y11" s="27"/>
      <c r="Z11" s="24">
        <f>MIN(Z7,Z10)</f>
        <v>41040.000000000007</v>
      </c>
      <c r="AA11" s="27"/>
      <c r="AB11" s="27"/>
      <c r="AC11" s="27"/>
      <c r="AD11" s="24">
        <f>MIN(AD7,AD10)</f>
        <v>61560.000000000007</v>
      </c>
      <c r="AE11" s="27"/>
      <c r="AF11" s="27"/>
      <c r="AG11" s="27"/>
      <c r="AH11" s="24">
        <f>MIN(AH7,AH10)</f>
        <v>82080.000000000015</v>
      </c>
      <c r="AI11" s="39"/>
    </row>
    <row r="12" spans="1:35" ht="27" customHeight="1" x14ac:dyDescent="0.25">
      <c r="A12" s="31" t="s">
        <v>61</v>
      </c>
      <c r="B12" s="32" t="s">
        <v>82</v>
      </c>
      <c r="C12" s="27"/>
      <c r="D12" s="27"/>
      <c r="E12" s="27"/>
      <c r="F12" s="24">
        <f>F6-F11</f>
        <v>10556.25</v>
      </c>
      <c r="G12" s="27"/>
      <c r="H12" s="27"/>
      <c r="I12" s="27"/>
      <c r="J12" s="24">
        <f>J5-J11</f>
        <v>36426.046875</v>
      </c>
      <c r="K12" s="27"/>
      <c r="L12" s="27"/>
      <c r="M12" s="27"/>
      <c r="N12" s="24">
        <f>N5-N11</f>
        <v>89082.205499999982</v>
      </c>
      <c r="O12" s="27"/>
      <c r="P12" s="27"/>
      <c r="Q12" s="27"/>
      <c r="R12" s="24">
        <f>R5-R11</f>
        <v>161699.99769447657</v>
      </c>
      <c r="S12" s="27"/>
      <c r="T12" s="27"/>
      <c r="U12" s="27"/>
      <c r="V12" s="24">
        <f>V5-V11</f>
        <v>87525.512132246164</v>
      </c>
      <c r="W12" s="27"/>
      <c r="X12" s="27"/>
      <c r="Y12" s="27"/>
      <c r="Z12" s="24">
        <f>Z5-Z11</f>
        <v>192081.69811433763</v>
      </c>
      <c r="AA12" s="27"/>
      <c r="AB12" s="27"/>
      <c r="AC12" s="27"/>
      <c r="AD12" s="24">
        <f>AD5-AD11</f>
        <v>315547.6905540555</v>
      </c>
      <c r="AE12" s="27"/>
      <c r="AF12" s="27"/>
      <c r="AG12" s="27"/>
      <c r="AH12" s="24">
        <f>AH5-AH11</f>
        <v>459013.44859689346</v>
      </c>
      <c r="AI12" s="39">
        <f>R12+AH12</f>
        <v>620713.44629137008</v>
      </c>
    </row>
    <row r="13" spans="1:35" ht="27" customHeight="1" thickBot="1" x14ac:dyDescent="0.3">
      <c r="A13" s="31" t="s">
        <v>62</v>
      </c>
      <c r="B13" s="32" t="s">
        <v>83</v>
      </c>
      <c r="C13" s="27">
        <f>'Исходные данные'!C18</f>
        <v>149940</v>
      </c>
      <c r="D13" s="27">
        <f>'Исходные данные'!D18</f>
        <v>121900</v>
      </c>
      <c r="E13" s="27">
        <f>'Исходные данные'!E18</f>
        <v>139150</v>
      </c>
      <c r="F13" s="24">
        <f>SUM(C13:E13)</f>
        <v>410990</v>
      </c>
      <c r="G13" s="27">
        <f>'Исходные данные'!F18</f>
        <v>160022.5</v>
      </c>
      <c r="H13" s="27">
        <f>'Исходные данные'!G18</f>
        <v>188597.125</v>
      </c>
      <c r="I13" s="27">
        <f>'Исходные данные'!H18</f>
        <v>210216.55</v>
      </c>
      <c r="J13" s="24">
        <f>SUM(F13:I13)</f>
        <v>969826.17500000005</v>
      </c>
      <c r="K13" s="27">
        <f>'Исходные данные'!I18</f>
        <v>226422.58000000002</v>
      </c>
      <c r="L13" s="27">
        <f>'Исходные данные'!J18</f>
        <v>241014.83800000002</v>
      </c>
      <c r="M13" s="27">
        <f>'Исходные данные'!K18</f>
        <v>251175.26739999998</v>
      </c>
      <c r="N13" s="24">
        <f>SUM(J13:M13)</f>
        <v>1688438.8604000001</v>
      </c>
      <c r="O13" s="27">
        <f>'Исходные данные'!L18</f>
        <v>260883.10889500001</v>
      </c>
      <c r="P13" s="27">
        <f>'Исходные данные'!M18</f>
        <v>271164.39832412498</v>
      </c>
      <c r="Q13" s="27">
        <f>'Исходные данные'!N18</f>
        <v>280697.61824033124</v>
      </c>
      <c r="R13" s="24">
        <f>SUM(N13:Q13)</f>
        <v>2501183.9858594565</v>
      </c>
      <c r="S13" s="27">
        <f>'Исходные данные'!O18</f>
        <v>290707.49915234779</v>
      </c>
      <c r="T13" s="27">
        <f>'Исходные данные'!P18</f>
        <v>301217.87410996523</v>
      </c>
      <c r="U13" s="27">
        <f>'Исходные данные'!Q18</f>
        <v>312253.76781546348</v>
      </c>
      <c r="V13" s="24">
        <f>SUM(S13:U13)</f>
        <v>904179.14107777644</v>
      </c>
      <c r="W13" s="27">
        <f>'Исходные данные'!R18</f>
        <v>323841.45620623667</v>
      </c>
      <c r="X13" s="27">
        <f>'Исходные данные'!S18</f>
        <v>336008.52901654848</v>
      </c>
      <c r="Y13" s="27">
        <f>'Исходные данные'!T18</f>
        <v>348783.95546737593</v>
      </c>
      <c r="Z13" s="24">
        <f>SUM(V13:Y13)</f>
        <v>1912813.0817679376</v>
      </c>
      <c r="AA13" s="27">
        <f>'Исходные данные'!S18</f>
        <v>336008.52901654848</v>
      </c>
      <c r="AB13" s="27">
        <f>'Исходные данные'!T18</f>
        <v>348783.95546737593</v>
      </c>
      <c r="AC13" s="27">
        <f>'Исходные данные'!U18</f>
        <v>362198.15324074472</v>
      </c>
      <c r="AD13" s="24">
        <f>SUM(Z13:AC13)</f>
        <v>2959803.7194926068</v>
      </c>
      <c r="AE13" s="27">
        <f>'Исходные данные'!V18</f>
        <v>374679.37871841673</v>
      </c>
      <c r="AF13" s="27">
        <f>'Исходные данные'!W18</f>
        <v>387736.55500444141</v>
      </c>
      <c r="AG13" s="27">
        <f>'Исходные данные'!X18</f>
        <v>401397.03632527054</v>
      </c>
      <c r="AH13" s="24">
        <f>SUM(AD13:AG13)</f>
        <v>4123616.6895407354</v>
      </c>
      <c r="AI13" s="39">
        <f>R13+AH13</f>
        <v>6624800.6754001919</v>
      </c>
    </row>
    <row r="14" spans="1:35" ht="27" customHeight="1" thickBot="1" x14ac:dyDescent="0.3">
      <c r="A14" s="36" t="s">
        <v>63</v>
      </c>
      <c r="B14" s="37" t="s">
        <v>84</v>
      </c>
      <c r="C14" s="28">
        <f>C4-C13</f>
        <v>-69940</v>
      </c>
      <c r="D14" s="28">
        <f t="shared" ref="D14:E14" si="69">D4-D13</f>
        <v>-9400</v>
      </c>
      <c r="E14" s="28">
        <f t="shared" si="69"/>
        <v>20225</v>
      </c>
      <c r="F14" s="25">
        <f>F4-F13-F10</f>
        <v>-79635</v>
      </c>
      <c r="G14" s="28">
        <f>G4-G13</f>
        <v>56071.25</v>
      </c>
      <c r="H14" s="28">
        <f t="shared" ref="H14:I14" si="70">H4-H13</f>
        <v>105145.0625</v>
      </c>
      <c r="I14" s="28">
        <f t="shared" si="70"/>
        <v>142274.07500000001</v>
      </c>
      <c r="J14" s="25">
        <f>J4-J13-F10</f>
        <v>223855.38749999995</v>
      </c>
      <c r="K14" s="28">
        <f>K4-K13</f>
        <v>170106.16999999998</v>
      </c>
      <c r="L14" s="28">
        <f t="shared" ref="L14:M14" si="71">L4-L13</f>
        <v>195166.78699999998</v>
      </c>
      <c r="M14" s="28">
        <f t="shared" si="71"/>
        <v>212616.22010000001</v>
      </c>
      <c r="N14" s="25">
        <f>N4-N13-F10</f>
        <v>801744.56459999969</v>
      </c>
      <c r="O14" s="28">
        <f>O4-O13</f>
        <v>229288.3826675</v>
      </c>
      <c r="P14" s="28">
        <f t="shared" ref="P14:Q14" si="72">P4-P13</f>
        <v>246945.37973056256</v>
      </c>
      <c r="Q14" s="28">
        <f t="shared" si="72"/>
        <v>263317.64871709066</v>
      </c>
      <c r="R14" s="25">
        <f>R4-R12-R10-R13</f>
        <v>1318035.9780206764</v>
      </c>
      <c r="S14" s="28">
        <f>S4-S13</f>
        <v>280508.53115294513</v>
      </c>
      <c r="T14" s="28">
        <f t="shared" ref="T14:U14" si="73">T4-T13</f>
        <v>298558.95771059237</v>
      </c>
      <c r="U14" s="28">
        <f t="shared" si="73"/>
        <v>317511.90559612203</v>
      </c>
      <c r="V14" s="25">
        <f>V4-V13-V10</f>
        <v>876059.3944596597</v>
      </c>
      <c r="W14" s="28">
        <f>W4-W13</f>
        <v>337412.50087592815</v>
      </c>
      <c r="X14" s="28">
        <f t="shared" ref="X14:Y14" si="74">X4-X13</f>
        <v>358308.12591972452</v>
      </c>
      <c r="Y14" s="28">
        <f t="shared" si="74"/>
        <v>380248.53221571073</v>
      </c>
      <c r="Z14" s="25">
        <f>Z4-Z13-V10</f>
        <v>1952028.5534710232</v>
      </c>
      <c r="AA14" s="28">
        <f>AA4-AA13</f>
        <v>429475.58305069251</v>
      </c>
      <c r="AB14" s="28">
        <f t="shared" ref="AB14:AC14" si="75">AB4-AB13</f>
        <v>450616.53018049558</v>
      </c>
      <c r="AC14" s="28">
        <f t="shared" si="75"/>
        <v>472683.789706107</v>
      </c>
      <c r="AD14" s="25">
        <f>AD4-AD13-V10</f>
        <v>3304804.4564083181</v>
      </c>
      <c r="AE14" s="28">
        <f>AE4-AE13</f>
        <v>497323.4373828618</v>
      </c>
      <c r="AF14" s="28">
        <f t="shared" ref="AF14:AG14" si="76">AF4-AF13</f>
        <v>523104.48118919774</v>
      </c>
      <c r="AG14" s="28">
        <f t="shared" si="76"/>
        <v>548855.07876044512</v>
      </c>
      <c r="AH14" s="25">
        <f>AH4-AH10-AH12-AH13</f>
        <v>4353514.0051439302</v>
      </c>
      <c r="AI14" s="41">
        <f>R14+AH14</f>
        <v>5671549.9831646066</v>
      </c>
    </row>
    <row r="15" spans="1:35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</sheetData>
  <mergeCells count="3">
    <mergeCell ref="C2:R2"/>
    <mergeCell ref="S2:AH2"/>
    <mergeCell ref="A1:AI1"/>
  </mergeCells>
  <pageMargins left="0.7" right="0.7" top="0.75" bottom="0.75" header="0.3" footer="0.3"/>
  <pageSetup paperSize="9" orientation="portrait" verticalDpi="0" r:id="rId1"/>
  <ignoredErrors>
    <ignoredError sqref="F14 J14 N14 R14 V14 Z14 AD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activeCell="A2" sqref="A2"/>
    </sheetView>
  </sheetViews>
  <sheetFormatPr defaultRowHeight="15" x14ac:dyDescent="0.25"/>
  <cols>
    <col min="1" max="1" width="24" customWidth="1"/>
    <col min="2" max="3" width="12.7109375" bestFit="1" customWidth="1"/>
    <col min="4" max="4" width="11" customWidth="1"/>
    <col min="5" max="9" width="12.7109375" bestFit="1" customWidth="1"/>
    <col min="10" max="10" width="14.28515625" bestFit="1" customWidth="1"/>
    <col min="11" max="12" width="12.7109375" bestFit="1" customWidth="1"/>
    <col min="13" max="13" width="14.28515625" bestFit="1" customWidth="1"/>
  </cols>
  <sheetData>
    <row r="1" spans="1:25" x14ac:dyDescent="0.25">
      <c r="A1" s="2" t="s">
        <v>85</v>
      </c>
      <c r="B1" s="3">
        <v>1</v>
      </c>
      <c r="C1" s="3">
        <v>2</v>
      </c>
      <c r="D1" s="43">
        <v>3</v>
      </c>
      <c r="E1" s="43">
        <v>4</v>
      </c>
      <c r="F1" s="43">
        <v>5</v>
      </c>
      <c r="G1" s="43">
        <v>6</v>
      </c>
      <c r="H1" s="43">
        <v>7</v>
      </c>
      <c r="I1" s="43">
        <v>8</v>
      </c>
      <c r="J1" s="43">
        <v>9</v>
      </c>
      <c r="K1" s="43">
        <v>10</v>
      </c>
      <c r="L1" s="43">
        <v>11</v>
      </c>
      <c r="M1" s="43">
        <v>12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 t="s">
        <v>86</v>
      </c>
      <c r="B2" s="42">
        <f>'Исходные данные'!$B$11+'Финансовые результаты'!C14-'Исходные данные'!B22</f>
        <v>683460</v>
      </c>
      <c r="C2" s="42">
        <f>B2+'Финансовые результаты'!D14</f>
        <v>674060</v>
      </c>
      <c r="D2" s="42">
        <f>C2+'Финансовые результаты'!E14</f>
        <v>694285</v>
      </c>
      <c r="E2" s="42">
        <f>D2+'Финансовые результаты'!G14</f>
        <v>750356.25</v>
      </c>
      <c r="F2" s="42">
        <f>E2+'Финансовые результаты'!H14</f>
        <v>855501.3125</v>
      </c>
      <c r="G2" s="42">
        <f>F2+'Финансовые результаты'!I14</f>
        <v>997775.38749999995</v>
      </c>
      <c r="H2" s="42">
        <f>G2+'Финансовые результаты'!K14</f>
        <v>1167881.5574999999</v>
      </c>
      <c r="I2" s="42">
        <f>H2+'Финансовые результаты'!L14</f>
        <v>1363048.3444999999</v>
      </c>
      <c r="J2" s="42">
        <f>I2+'Финансовые результаты'!M14</f>
        <v>1575664.5645999999</v>
      </c>
      <c r="K2" s="42">
        <f>J2+'Финансовые результаты'!O14</f>
        <v>1804952.9472675</v>
      </c>
      <c r="L2" s="42">
        <f>K2+'Финансовые результаты'!P14</f>
        <v>2051898.3269980624</v>
      </c>
      <c r="M2" s="42">
        <f>L2+'Финансовые результаты'!Q14</f>
        <v>2315215.9757151529</v>
      </c>
      <c r="N2" s="19"/>
      <c r="O2" s="19"/>
      <c r="P2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H29"/>
  <sheetViews>
    <sheetView topLeftCell="A16" workbookViewId="0">
      <selection activeCell="E37" sqref="E37"/>
    </sheetView>
  </sheetViews>
  <sheetFormatPr defaultRowHeight="15" x14ac:dyDescent="0.25"/>
  <cols>
    <col min="6" max="6" width="13" customWidth="1"/>
  </cols>
  <sheetData>
    <row r="23" spans="2:8" ht="15.75" thickBot="1" x14ac:dyDescent="0.3"/>
    <row r="24" spans="2:8" ht="15.75" thickBot="1" x14ac:dyDescent="0.3">
      <c r="B24" s="144" t="s">
        <v>87</v>
      </c>
      <c r="C24" s="145"/>
      <c r="D24" s="145"/>
      <c r="E24" s="145"/>
      <c r="F24" s="145"/>
      <c r="G24" s="145"/>
      <c r="H24" s="146"/>
    </row>
    <row r="25" spans="2:8" x14ac:dyDescent="0.25">
      <c r="B25" s="132" t="s">
        <v>88</v>
      </c>
      <c r="C25" s="133"/>
      <c r="D25" s="133"/>
      <c r="E25" s="133"/>
      <c r="F25" s="134"/>
      <c r="G25" s="147">
        <f>'Финансовые результаты'!R14</f>
        <v>1318035.9780206764</v>
      </c>
      <c r="H25" s="148"/>
    </row>
    <row r="26" spans="2:8" x14ac:dyDescent="0.25">
      <c r="B26" s="135" t="s">
        <v>89</v>
      </c>
      <c r="C26" s="136"/>
      <c r="D26" s="136"/>
      <c r="E26" s="136"/>
      <c r="F26" s="137"/>
      <c r="G26" s="149">
        <f>'Исходные данные'!B11</f>
        <v>954000</v>
      </c>
      <c r="H26" s="150"/>
    </row>
    <row r="27" spans="2:8" x14ac:dyDescent="0.25">
      <c r="B27" s="135" t="s">
        <v>90</v>
      </c>
      <c r="C27" s="136"/>
      <c r="D27" s="136"/>
      <c r="E27" s="136"/>
      <c r="F27" s="137"/>
      <c r="G27" s="151">
        <f>'Финансовые результаты'!R14/'Финансовые результаты'!R13</f>
        <v>0.52696482364841823</v>
      </c>
      <c r="H27" s="152"/>
    </row>
    <row r="28" spans="2:8" ht="32.25" customHeight="1" x14ac:dyDescent="0.25">
      <c r="B28" s="138" t="s">
        <v>91</v>
      </c>
      <c r="C28" s="139"/>
      <c r="D28" s="139"/>
      <c r="E28" s="139"/>
      <c r="F28" s="140"/>
      <c r="G28" s="153">
        <f>'Финансовые результаты'!R14/'Исходные данные'!B11</f>
        <v>1.3815890754933715</v>
      </c>
      <c r="H28" s="154"/>
    </row>
    <row r="29" spans="2:8" ht="15.75" thickBot="1" x14ac:dyDescent="0.3">
      <c r="B29" s="141" t="s">
        <v>92</v>
      </c>
      <c r="C29" s="142"/>
      <c r="D29" s="142"/>
      <c r="E29" s="142"/>
      <c r="F29" s="143"/>
      <c r="G29" s="130">
        <f>'Исходные данные'!B11/('Финансовые результаты'!R14/12)</f>
        <v>8.6856506126575646</v>
      </c>
      <c r="H29" s="131"/>
    </row>
  </sheetData>
  <mergeCells count="11">
    <mergeCell ref="B24:H24"/>
    <mergeCell ref="G25:H25"/>
    <mergeCell ref="G26:H26"/>
    <mergeCell ref="G27:H27"/>
    <mergeCell ref="G28:H28"/>
    <mergeCell ref="G29:H29"/>
    <mergeCell ref="B25:F25"/>
    <mergeCell ref="B26:F26"/>
    <mergeCell ref="B27:F27"/>
    <mergeCell ref="B28:F28"/>
    <mergeCell ref="B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Финансовые результаты</vt:lpstr>
      <vt:lpstr>Движение денежных средств</vt:lpstr>
      <vt:lpstr>Оценка эффективности проекта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User</cp:lastModifiedBy>
  <dcterms:created xsi:type="dcterms:W3CDTF">2012-11-15T05:47:55Z</dcterms:created>
  <dcterms:modified xsi:type="dcterms:W3CDTF">2013-12-05T08:15:08Z</dcterms:modified>
</cp:coreProperties>
</file>